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630" yWindow="810" windowWidth="19440" windowHeight="10920" tabRatio="775"/>
  </bookViews>
  <sheets>
    <sheet name="9 мес 2017" sheetId="2" r:id="rId1"/>
  </sheets>
  <definedNames>
    <definedName name="_xlnm.Print_Titles" localSheetId="0">'9 мес 2017'!$5:$6</definedName>
  </definedNames>
  <calcPr calcId="145621"/>
</workbook>
</file>

<file path=xl/calcChain.xml><?xml version="1.0" encoding="utf-8"?>
<calcChain xmlns="http://schemas.openxmlformats.org/spreadsheetml/2006/main">
  <c r="D79" i="2" l="1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3" i="2"/>
  <c r="D12" i="2"/>
  <c r="D11" i="2"/>
  <c r="D10" i="2"/>
  <c r="D9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H80" i="2" l="1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2" i="2"/>
  <c r="H41" i="2"/>
  <c r="H40" i="2"/>
  <c r="H39" i="2"/>
  <c r="H38" i="2"/>
  <c r="H37" i="2"/>
  <c r="H36" i="2"/>
  <c r="H34" i="2"/>
  <c r="H33" i="2"/>
  <c r="H32" i="2"/>
  <c r="H31" i="2"/>
  <c r="H30" i="2"/>
  <c r="H29" i="2"/>
  <c r="H28" i="2"/>
  <c r="H27" i="2"/>
  <c r="H26" i="2"/>
  <c r="H25" i="2"/>
  <c r="H24" i="2"/>
  <c r="H22" i="2"/>
  <c r="H21" i="2"/>
  <c r="H20" i="2"/>
  <c r="H19" i="2"/>
  <c r="H18" i="2"/>
  <c r="H17" i="2"/>
  <c r="H16" i="2"/>
  <c r="H15" i="2"/>
  <c r="H13" i="2"/>
  <c r="H12" i="2"/>
  <c r="H11" i="2"/>
  <c r="H10" i="2"/>
  <c r="H9" i="2"/>
  <c r="H8" i="2"/>
  <c r="G80" i="2"/>
  <c r="G79" i="2"/>
  <c r="G78" i="2"/>
  <c r="G77" i="2"/>
  <c r="G75" i="2"/>
  <c r="G73" i="2"/>
  <c r="G72" i="2"/>
  <c r="G70" i="2"/>
  <c r="G69" i="2"/>
  <c r="G68" i="2"/>
  <c r="G66" i="2"/>
  <c r="G65" i="2"/>
  <c r="G64" i="2"/>
  <c r="G63" i="2"/>
  <c r="G62" i="2"/>
  <c r="G60" i="2"/>
  <c r="G59" i="2"/>
  <c r="G58" i="2"/>
  <c r="G57" i="2"/>
  <c r="G56" i="2"/>
  <c r="G55" i="2"/>
  <c r="G54" i="2"/>
  <c r="G52" i="2"/>
  <c r="G51" i="2"/>
  <c r="G49" i="2"/>
  <c r="G48" i="2"/>
  <c r="G47" i="2"/>
  <c r="G46" i="2"/>
  <c r="G45" i="2"/>
  <c r="G44" i="2"/>
  <c r="G43" i="2"/>
  <c r="G42" i="2"/>
  <c r="G41" i="2"/>
  <c r="G39" i="2"/>
  <c r="G38" i="2"/>
  <c r="G36" i="2"/>
  <c r="G34" i="2"/>
  <c r="G33" i="2"/>
  <c r="G31" i="2"/>
  <c r="G30" i="2"/>
  <c r="G29" i="2"/>
  <c r="G28" i="2"/>
  <c r="G27" i="2"/>
  <c r="G26" i="2"/>
  <c r="G25" i="2"/>
  <c r="G22" i="2"/>
  <c r="G21" i="2"/>
  <c r="G20" i="2"/>
  <c r="G18" i="2"/>
  <c r="G16" i="2"/>
  <c r="G15" i="2"/>
  <c r="G13" i="2"/>
  <c r="G12" i="2"/>
  <c r="G11" i="2"/>
  <c r="G10" i="2"/>
  <c r="G9" i="2"/>
  <c r="E80" i="2" l="1"/>
  <c r="E79" i="2"/>
  <c r="E78" i="2"/>
  <c r="E77" i="2"/>
  <c r="E75" i="2"/>
  <c r="E73" i="2"/>
  <c r="E72" i="2"/>
  <c r="E70" i="2"/>
  <c r="E69" i="2"/>
  <c r="E68" i="2"/>
  <c r="E66" i="2"/>
  <c r="E65" i="2"/>
  <c r="E64" i="2"/>
  <c r="E63" i="2"/>
  <c r="E62" i="2"/>
  <c r="E60" i="2"/>
  <c r="E59" i="2"/>
  <c r="E58" i="2"/>
  <c r="E57" i="2"/>
  <c r="E56" i="2"/>
  <c r="E55" i="2"/>
  <c r="E54" i="2"/>
  <c r="E52" i="2"/>
  <c r="E51" i="2"/>
  <c r="E49" i="2"/>
  <c r="E48" i="2"/>
  <c r="E47" i="2"/>
  <c r="E46" i="2"/>
  <c r="E45" i="2"/>
  <c r="E44" i="2"/>
  <c r="E43" i="2"/>
  <c r="E42" i="2"/>
  <c r="E41" i="2"/>
  <c r="E39" i="2"/>
  <c r="E38" i="2"/>
  <c r="E36" i="2"/>
  <c r="E35" i="2"/>
  <c r="E34" i="2"/>
  <c r="E33" i="2"/>
  <c r="E31" i="2"/>
  <c r="E30" i="2"/>
  <c r="E29" i="2"/>
  <c r="E28" i="2"/>
  <c r="E27" i="2"/>
  <c r="E26" i="2"/>
  <c r="E25" i="2"/>
  <c r="E23" i="2"/>
  <c r="E22" i="2"/>
  <c r="E21" i="2"/>
  <c r="E20" i="2"/>
  <c r="E18" i="2"/>
  <c r="E16" i="2"/>
  <c r="E15" i="2"/>
  <c r="E14" i="2"/>
  <c r="E13" i="2"/>
  <c r="E12" i="2"/>
  <c r="E11" i="2"/>
  <c r="E10" i="2"/>
  <c r="E9" i="2"/>
  <c r="G19" i="2" l="1"/>
  <c r="E19" i="2"/>
  <c r="G40" i="2"/>
  <c r="E40" i="2"/>
  <c r="G67" i="2"/>
  <c r="E67" i="2"/>
  <c r="G24" i="2"/>
  <c r="E24" i="2"/>
  <c r="G50" i="2"/>
  <c r="E50" i="2"/>
  <c r="G71" i="2"/>
  <c r="E71" i="2"/>
  <c r="G8" i="2"/>
  <c r="E8" i="2"/>
  <c r="G32" i="2"/>
  <c r="E32" i="2"/>
  <c r="G53" i="2"/>
  <c r="E53" i="2"/>
  <c r="G74" i="2"/>
  <c r="E74" i="2"/>
  <c r="G17" i="2"/>
  <c r="E17" i="2"/>
  <c r="G37" i="2"/>
  <c r="E37" i="2"/>
  <c r="G61" i="2"/>
  <c r="E61" i="2"/>
  <c r="G76" i="2"/>
  <c r="E76" i="2"/>
</calcChain>
</file>

<file path=xl/sharedStrings.xml><?xml version="1.0" encoding="utf-8"?>
<sst xmlns="http://schemas.openxmlformats.org/spreadsheetml/2006/main" count="163" uniqueCount="157">
  <si>
    <t>Единица измерения: тыс. руб.</t>
  </si>
  <si>
    <t>Наименование показателя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</si>
  <si>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</si>
  <si>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</si>
  <si>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</si>
  <si>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</si>
  <si>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Судебная система</t>
  </si>
  <si>
    <t>0105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</si>
  <si>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</si>
  <si>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</si>
  <si>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Обеспечение проведения выборов и референдумов</t>
  </si>
  <si>
    <t>0107</t>
  </si>
  <si>
    <t xml:space="preserve">    Резервные фонды</t>
  </si>
  <si>
    <t>0111</t>
  </si>
  <si>
    <t xml:space="preserve">    Прикладные научные исследования в области общегосударственных вопросов</t>
  </si>
  <si>
    <t>0112</t>
  </si>
  <si>
    <t xml:space="preserve">    Другие общегосударственные вопросы</t>
  </si>
  <si>
    <t>0113</t>
  </si>
  <si>
    <t xml:space="preserve">    Мобилизационная и вневойсковая подготовка</t>
  </si>
  <si>
    <t>0203</t>
  </si>
  <si>
    <t xml:space="preserve">    Органы юстиции</t>
  </si>
  <si>
    <t>0304</t>
  </si>
  <si>
    <t xml:space="preserve">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</si>
  <si>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</si>
  <si>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Обеспечение пожарной безопасности</t>
  </si>
  <si>
    <t>0310</t>
  </si>
  <si>
    <t xml:space="preserve">    Другие вопросы в области национальной безопасности и правоохранительной деятельности</t>
  </si>
  <si>
    <t>0314</t>
  </si>
  <si>
    <t xml:space="preserve">    Общеэкономические вопросы</t>
  </si>
  <si>
    <t>0401</t>
  </si>
  <si>
    <t xml:space="preserve">    Сельское хозяйство и рыболовство</t>
  </si>
  <si>
    <t>0405</t>
  </si>
  <si>
    <t xml:space="preserve">    Водное хозяйство</t>
  </si>
  <si>
    <t>0406</t>
  </si>
  <si>
    <t xml:space="preserve">    Лесное хозяйство</t>
  </si>
  <si>
    <t>0407</t>
  </si>
  <si>
    <t xml:space="preserve">    Транспорт</t>
  </si>
  <si>
    <t>0408</t>
  </si>
  <si>
    <t xml:space="preserve">    Дорожное хозяйство (дорожные фонды)</t>
  </si>
  <si>
    <t>0409</t>
  </si>
  <si>
    <t xml:space="preserve">    Другие вопросы в области национальной экономики</t>
  </si>
  <si>
    <t>0412</t>
  </si>
  <si>
    <t xml:space="preserve">    Жилищное хозяйство</t>
  </si>
  <si>
    <t>0501</t>
  </si>
  <si>
    <t xml:space="preserve">    Коммунальное хозяйство</t>
  </si>
  <si>
    <t>0502</t>
  </si>
  <si>
    <t xml:space="preserve">    Благоустройство</t>
  </si>
  <si>
    <t>0503</t>
  </si>
  <si>
    <t xml:space="preserve">    Другие вопросы в области жилищно-коммунального хозяйства</t>
  </si>
  <si>
    <t>0505</t>
  </si>
  <si>
    <t xml:space="preserve">    Охрана объектов растительного и животного мира и среды их обитания</t>
  </si>
  <si>
    <t>0603</t>
  </si>
  <si>
    <t xml:space="preserve">    Другие вопросы в области охраны окружающей среды</t>
  </si>
  <si>
    <t>0605</t>
  </si>
  <si>
    <t xml:space="preserve">    Дошкольное образование</t>
  </si>
  <si>
    <t>0701</t>
  </si>
  <si>
    <t xml:space="preserve">    Общее образование</t>
  </si>
  <si>
    <t>0702</t>
  </si>
  <si>
    <t xml:space="preserve">    Дополнительное образование детей</t>
  </si>
  <si>
    <t>0703</t>
  </si>
  <si>
    <t xml:space="preserve">    Среднее профессиональное образование</t>
  </si>
  <si>
    <t>0704</t>
  </si>
  <si>
    <t xml:space="preserve">    Профессиональная подготовка, переподготовка и повышение квалификации</t>
  </si>
  <si>
    <t>0705</t>
  </si>
  <si>
    <t xml:space="preserve">    Высшее образование</t>
  </si>
  <si>
    <t>0706</t>
  </si>
  <si>
    <t xml:space="preserve">    Молодежная политика</t>
  </si>
  <si>
    <t>0707</t>
  </si>
  <si>
    <t xml:space="preserve">    Прикладные научные исследования в области образования</t>
  </si>
  <si>
    <t>0708</t>
  </si>
  <si>
    <t xml:space="preserve">    Другие вопросы в области образования</t>
  </si>
  <si>
    <t>0709</t>
  </si>
  <si>
    <t xml:space="preserve">    Культура</t>
  </si>
  <si>
    <t>0801</t>
  </si>
  <si>
    <t xml:space="preserve">    Другие вопросы в области культуры, кинематографии</t>
  </si>
  <si>
    <t>0804</t>
  </si>
  <si>
    <t xml:space="preserve">    Стационарная медицинская помощь</t>
  </si>
  <si>
    <t>0901</t>
  </si>
  <si>
    <t xml:space="preserve">    Амбулаторная помощь</t>
  </si>
  <si>
    <t>0902</t>
  </si>
  <si>
    <t xml:space="preserve">    Медицинская помощь в дневных стационарах всех типов</t>
  </si>
  <si>
    <t>0903</t>
  </si>
  <si>
    <t xml:space="preserve">    Скорая медицинская помощь</t>
  </si>
  <si>
    <t>0904</t>
  </si>
  <si>
    <t xml:space="preserve">    Санаторно-оздоровительная помощь</t>
  </si>
  <si>
    <t>0905</t>
  </si>
  <si>
    <t xml:space="preserve">    Заготовка, переработка, хранение и обеспечение безопасности донорской крови и ее компонентов</t>
  </si>
  <si>
    <t>0906</t>
  </si>
  <si>
    <t xml:space="preserve">    Другие вопросы в области здравоохранения</t>
  </si>
  <si>
    <t>0909</t>
  </si>
  <si>
    <t xml:space="preserve">    Пенсионное обеспечение</t>
  </si>
  <si>
    <t>1001</t>
  </si>
  <si>
    <t xml:space="preserve">    Социальное обслуживание населения</t>
  </si>
  <si>
    <t>1002</t>
  </si>
  <si>
    <t xml:space="preserve">    Социальное обеспечение населения</t>
  </si>
  <si>
    <t>1003</t>
  </si>
  <si>
    <t xml:space="preserve">    Охрана семьи и детства</t>
  </si>
  <si>
    <t>1004</t>
  </si>
  <si>
    <t xml:space="preserve">    Другие вопросы в области социальной политики</t>
  </si>
  <si>
    <t>1006</t>
  </si>
  <si>
    <t xml:space="preserve">    Массовый спорт</t>
  </si>
  <si>
    <t>1102</t>
  </si>
  <si>
    <t xml:space="preserve">    Спорт высших достижений</t>
  </si>
  <si>
    <t>1103</t>
  </si>
  <si>
    <t xml:space="preserve">    Другие вопросы в области физической культуры и спорта</t>
  </si>
  <si>
    <t>1105</t>
  </si>
  <si>
    <t xml:space="preserve">    Телевидение и радиовещание</t>
  </si>
  <si>
    <t>1201</t>
  </si>
  <si>
    <t xml:space="preserve">    Периодическая печать и издательства</t>
  </si>
  <si>
    <t>1202</t>
  </si>
  <si>
    <t xml:space="preserve">    Обслуживание государственного внутреннего и муниципального долга</t>
  </si>
  <si>
    <t>1301</t>
  </si>
  <si>
    <t xml:space="preserve">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</si>
  <si>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</si>
  <si>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Иные дотации</t>
  </si>
  <si>
    <t>1402</t>
  </si>
  <si>
    <t xml:space="preserve">    Прочие межбюджетные трансферты общего характера</t>
  </si>
  <si>
    <t>1403</t>
  </si>
  <si>
    <t>ВСЕГО РАСХОДОВ:</t>
  </si>
  <si>
    <t>ОБЩЕГОСУДАРСТВЕННЫЕ ВОПРОСЫ</t>
  </si>
  <si>
    <t>0100</t>
  </si>
  <si>
    <t>0200</t>
  </si>
  <si>
    <t>НАЦИОНАЛЬНАЯ ОБОРОНА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</si>
  <si>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</si>
  <si>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</si>
  <si>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</si>
  <si>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</si>
  <si>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0500</t>
  </si>
  <si>
    <t>ЖИЛИЩНО-КОММУНАЛЬНОЕ ХОЗЯЙСТВО</t>
  </si>
  <si>
    <t>ОХРАНА ОКРУЖАЮЩЕЙ СРЕДЫ</t>
  </si>
  <si>
    <t>0600</t>
  </si>
  <si>
    <t>ОБРАЗОВАНИЕ</t>
  </si>
  <si>
    <t>0700</t>
  </si>
  <si>
    <t>КУЛЬТУРА И КИНЕМАТОГРАФИЯ</t>
  </si>
  <si>
    <t>0800</t>
  </si>
  <si>
    <t>ЗДРАВООХРАНЕНИЕ</t>
  </si>
  <si>
    <t>0900</t>
  </si>
  <si>
    <t>СОЦИАЛЬНАЯ ПОЛИТИКА</t>
  </si>
  <si>
    <t>1000</t>
  </si>
  <si>
    <t>ФИЗИЧЕСКАЯ КУЛЬТУРА И СПОРТ</t>
  </si>
  <si>
    <t>1100</t>
  </si>
  <si>
    <t>СРЕДСТВА МАССОВОЙ ИНФОРМАЦИИ</t>
  </si>
  <si>
    <t>1200</t>
  </si>
  <si>
    <t>ОБСЛУЖИВАНИЕ ГОСУДАРСТВЕННОГО И МУНИЦИПАЛЬНОГО ДОЛГА</t>
  </si>
  <si>
    <t>1300</t>
  </si>
  <si>
    <t>МЕЖБЮДЖЕТНЫЕ ТРАНСФЕРТЫ БЮДЖЕТАМ СУБЪЕКТОВ РОССИЙСКОЙ ФЕДЕРАЦИИ И МУНИЦИПАЛЬНЫХ ОБРАЗОВАНИЙ ОБЩЕГО ХАРАКТЕРА</t>
  </si>
  <si>
    <t>1400</t>
  </si>
  <si>
    <t>-</t>
  </si>
  <si>
    <t>Разд. Подр.</t>
  </si>
  <si>
    <t>План на 2017 год</t>
  </si>
  <si>
    <t xml:space="preserve">Факт на 01.10.2017 </t>
  </si>
  <si>
    <t>% исполнения</t>
  </si>
  <si>
    <t>Факт на 01.10.2016</t>
  </si>
  <si>
    <t>Темп роста (снижения) 2017 к 2016 году на 01.10.2017</t>
  </si>
  <si>
    <t>тыс. рублей</t>
  </si>
  <si>
    <t>%</t>
  </si>
  <si>
    <t>Информация об исполнении республиканского бюджета Чувашской Республики за 9 месяцев 2017 года по расходам в разрезе разделов и подразделов классификации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</si>
</sst>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0"/>
      <color rgb="FF000000"/>
      <name val="Arial CYR"/>
      <family val="2"/>
    </font>
    <font>
      <sz val="11"/>
      <name val="Calibri"/>
      <family val="2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TimesET"/>
    </font>
    <font>
      <b/>
      <i/>
      <sz val="12"/>
      <color rgb="FF000000"/>
      <name val="Arial Cyr"/>
    </font>
    <font>
      <i/>
      <sz val="10"/>
      <color rgb="FF000000"/>
      <name val="Arial Cyr"/>
    </font>
    <font>
      <i/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CCCCCC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0" fontId="2" fillId="0" borderId="1">
      <alignment wrapText="1"/>
    </xf>
    <xf numFmtId="0" fontId="2" fillId="0" borderId="1"/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49" fontId="2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2">
      <alignment horizontal="left"/>
    </xf>
    <xf numFmtId="4" fontId="4" fillId="3" borderId="2">
      <alignment horizontal="right" vertical="top" shrinkToFit="1"/>
    </xf>
    <xf numFmtId="10" fontId="4" fillId="3" borderId="2">
      <alignment horizontal="right" vertical="top" shrinkToFit="1"/>
    </xf>
    <xf numFmtId="0" fontId="2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5" fillId="0" borderId="1"/>
    <xf numFmtId="0" fontId="5" fillId="0" borderId="1"/>
    <xf numFmtId="0" fontId="2" fillId="4" borderId="1"/>
    <xf numFmtId="0" fontId="2" fillId="4" borderId="3"/>
    <xf numFmtId="0" fontId="2" fillId="4" borderId="4"/>
    <xf numFmtId="49" fontId="2" fillId="0" borderId="2">
      <alignment horizontal="left" vertical="top" wrapText="1" indent="2"/>
    </xf>
    <xf numFmtId="4" fontId="2" fillId="0" borderId="2">
      <alignment horizontal="right" vertical="top" shrinkToFit="1"/>
    </xf>
    <xf numFmtId="10" fontId="2" fillId="0" borderId="2">
      <alignment horizontal="right" vertical="top" shrinkToFit="1"/>
    </xf>
    <xf numFmtId="0" fontId="2" fillId="4" borderId="4">
      <alignment shrinkToFit="1"/>
    </xf>
    <xf numFmtId="0" fontId="2" fillId="4" borderId="5"/>
    <xf numFmtId="0" fontId="2" fillId="4" borderId="4">
      <alignment horizontal="center"/>
    </xf>
    <xf numFmtId="0" fontId="2" fillId="4" borderId="4">
      <alignment horizontal="left"/>
    </xf>
    <xf numFmtId="0" fontId="2" fillId="4" borderId="5">
      <alignment horizontal="center"/>
    </xf>
    <xf numFmtId="0" fontId="2" fillId="4" borderId="5">
      <alignment horizontal="left"/>
    </xf>
    <xf numFmtId="0" fontId="6" fillId="0" borderId="1"/>
    <xf numFmtId="0" fontId="8" fillId="0" borderId="1"/>
    <xf numFmtId="0" fontId="9" fillId="0" borderId="1">
      <alignment wrapText="1"/>
    </xf>
    <xf numFmtId="0" fontId="10" fillId="0" borderId="1">
      <alignment horizontal="center" wrapText="1"/>
    </xf>
    <xf numFmtId="0" fontId="10" fillId="0" borderId="1">
      <alignment horizontal="center"/>
    </xf>
    <xf numFmtId="0" fontId="9" fillId="0" borderId="1">
      <alignment horizontal="right"/>
    </xf>
    <xf numFmtId="0" fontId="9" fillId="0" borderId="2">
      <alignment horizontal="center" vertical="center" wrapText="1"/>
    </xf>
    <xf numFmtId="0" fontId="7" fillId="0" borderId="2">
      <alignment horizontal="left"/>
    </xf>
    <xf numFmtId="0" fontId="9" fillId="0" borderId="1"/>
    <xf numFmtId="0" fontId="9" fillId="0" borderId="1">
      <alignment horizontal="left" wrapText="1"/>
    </xf>
    <xf numFmtId="49" fontId="9" fillId="0" borderId="2">
      <alignment horizontal="center" vertical="top" shrinkToFit="1"/>
    </xf>
    <xf numFmtId="4" fontId="7" fillId="3" borderId="2">
      <alignment horizontal="right" vertical="top" shrinkToFit="1"/>
    </xf>
    <xf numFmtId="0" fontId="9" fillId="0" borderId="2">
      <alignment horizontal="center" vertical="center" wrapText="1"/>
    </xf>
    <xf numFmtId="0" fontId="9" fillId="0" borderId="1">
      <alignment horizontal="left" wrapText="1"/>
    </xf>
    <xf numFmtId="10" fontId="7" fillId="3" borderId="2">
      <alignment horizontal="right" vertical="top" shrinkToFit="1"/>
    </xf>
    <xf numFmtId="0" fontId="10" fillId="0" borderId="1">
      <alignment horizontal="center" wrapText="1"/>
    </xf>
    <xf numFmtId="0" fontId="10" fillId="0" borderId="1">
      <alignment horizontal="center"/>
    </xf>
    <xf numFmtId="0" fontId="7" fillId="0" borderId="2">
      <alignment vertical="top" wrapText="1"/>
    </xf>
    <xf numFmtId="4" fontId="7" fillId="2" borderId="2">
      <alignment horizontal="right" vertical="top" shrinkToFit="1"/>
    </xf>
    <xf numFmtId="10" fontId="7" fillId="2" borderId="2">
      <alignment horizontal="right" vertical="top" shrinkToFit="1"/>
    </xf>
    <xf numFmtId="0" fontId="6" fillId="0" borderId="1"/>
    <xf numFmtId="0" fontId="6" fillId="0" borderId="1"/>
    <xf numFmtId="0" fontId="11" fillId="0" borderId="1"/>
    <xf numFmtId="0" fontId="11" fillId="0" borderId="1"/>
    <xf numFmtId="0" fontId="6" fillId="0" borderId="1"/>
    <xf numFmtId="0" fontId="9" fillId="5" borderId="1"/>
    <xf numFmtId="0" fontId="9" fillId="5" borderId="3"/>
    <xf numFmtId="0" fontId="9" fillId="5" borderId="4"/>
    <xf numFmtId="49" fontId="9" fillId="0" borderId="2">
      <alignment horizontal="left" vertical="top" wrapText="1" indent="2"/>
    </xf>
    <xf numFmtId="0" fontId="9" fillId="5" borderId="5"/>
    <xf numFmtId="4" fontId="9" fillId="0" borderId="2">
      <alignment horizontal="right" vertical="top" shrinkToFit="1"/>
    </xf>
    <xf numFmtId="10" fontId="9" fillId="0" borderId="2">
      <alignment horizontal="right" vertical="top" shrinkToFit="1"/>
    </xf>
    <xf numFmtId="0" fontId="1" fillId="0" borderId="1"/>
  </cellStyleXfs>
  <cellXfs count="5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4" applyProtection="1">
      <alignment horizontal="center"/>
      <protection locked="0"/>
    </xf>
    <xf numFmtId="0" fontId="0" fillId="0" borderId="0" xfId="0" applyFont="1" applyProtection="1">
      <protection locked="0"/>
    </xf>
    <xf numFmtId="0" fontId="13" fillId="0" borderId="1" xfId="4" applyFont="1" applyProtection="1">
      <alignment horizontal="center"/>
      <protection locked="0"/>
    </xf>
    <xf numFmtId="0" fontId="14" fillId="0" borderId="1" xfId="2" applyNumberFormat="1" applyFont="1" applyProtection="1"/>
    <xf numFmtId="0" fontId="15" fillId="0" borderId="0" xfId="0" applyFont="1" applyProtection="1">
      <protection locked="0"/>
    </xf>
    <xf numFmtId="0" fontId="17" fillId="0" borderId="10" xfId="32" applyFont="1" applyBorder="1" applyAlignment="1" applyProtection="1">
      <alignment vertical="center" wrapText="1"/>
      <protection locked="0"/>
    </xf>
    <xf numFmtId="0" fontId="18" fillId="0" borderId="6" xfId="0" applyFont="1" applyBorder="1" applyAlignment="1">
      <alignment horizontal="center" vertical="center" wrapText="1"/>
    </xf>
    <xf numFmtId="0" fontId="19" fillId="0" borderId="10" xfId="6" applyFont="1" applyBorder="1" applyAlignment="1" applyProtection="1">
      <alignment vertical="center" wrapText="1"/>
      <protection locked="0"/>
    </xf>
    <xf numFmtId="0" fontId="19" fillId="0" borderId="2" xfId="6" applyFont="1" applyProtection="1">
      <alignment horizontal="center" vertical="center" wrapText="1"/>
      <protection locked="0"/>
    </xf>
    <xf numFmtId="0" fontId="19" fillId="0" borderId="6" xfId="6" applyNumberFormat="1" applyFont="1" applyBorder="1" applyProtection="1">
      <alignment horizontal="center" vertical="center" wrapText="1"/>
    </xf>
    <xf numFmtId="0" fontId="20" fillId="0" borderId="2" xfId="6" applyFont="1" applyProtection="1">
      <alignment horizontal="center" vertical="center" wrapText="1"/>
      <protection locked="0"/>
    </xf>
    <xf numFmtId="0" fontId="20" fillId="0" borderId="6" xfId="6" applyFont="1" applyBorder="1" applyProtection="1">
      <alignment horizontal="center" vertical="center" wrapText="1"/>
      <protection locked="0"/>
    </xf>
    <xf numFmtId="0" fontId="19" fillId="0" borderId="2" xfId="7" applyNumberFormat="1" applyFont="1" applyFill="1" applyProtection="1">
      <alignment vertical="top" wrapText="1"/>
    </xf>
    <xf numFmtId="49" fontId="19" fillId="0" borderId="2" xfId="8" applyNumberFormat="1" applyFont="1" applyFill="1" applyProtection="1">
      <alignment horizontal="center" vertical="top" shrinkToFit="1"/>
    </xf>
    <xf numFmtId="4" fontId="0" fillId="0" borderId="0" xfId="0" applyNumberFormat="1" applyProtection="1">
      <protection locked="0"/>
    </xf>
    <xf numFmtId="0" fontId="21" fillId="0" borderId="2" xfId="7" applyNumberFormat="1" applyFont="1" applyFill="1" applyProtection="1">
      <alignment vertical="top" wrapText="1"/>
    </xf>
    <xf numFmtId="49" fontId="21" fillId="0" borderId="2" xfId="6" applyNumberFormat="1" applyFont="1" applyFill="1" applyProtection="1">
      <alignment horizontal="center" vertical="center" wrapText="1"/>
      <protection locked="0"/>
    </xf>
    <xf numFmtId="49" fontId="21" fillId="0" borderId="2" xfId="8" applyNumberFormat="1" applyFont="1" applyFill="1" applyProtection="1">
      <alignment horizontal="center" vertical="top" shrinkToFit="1"/>
    </xf>
    <xf numFmtId="0" fontId="18" fillId="0" borderId="2" xfId="7" applyNumberFormat="1" applyFont="1" applyFill="1" applyProtection="1">
      <alignment vertical="top" wrapText="1"/>
    </xf>
    <xf numFmtId="49" fontId="18" fillId="0" borderId="2" xfId="8" applyNumberFormat="1" applyFont="1" applyFill="1" applyProtection="1">
      <alignment horizontal="center" vertical="top" shrinkToFit="1"/>
    </xf>
    <xf numFmtId="0" fontId="23" fillId="0" borderId="2" xfId="7" applyNumberFormat="1" applyFont="1" applyFill="1" applyProtection="1">
      <alignment vertical="top" wrapText="1"/>
    </xf>
    <xf numFmtId="49" fontId="23" fillId="0" borderId="2" xfId="8" applyNumberFormat="1" applyFont="1" applyFill="1" applyProtection="1">
      <alignment horizontal="center" vertical="top" shrinkToFit="1"/>
    </xf>
    <xf numFmtId="4" fontId="2" fillId="0" borderId="1" xfId="2" applyNumberFormat="1" applyProtection="1"/>
    <xf numFmtId="164" fontId="19" fillId="0" borderId="2" xfId="9" applyNumberFormat="1" applyFont="1" applyFill="1" applyProtection="1">
      <alignment horizontal="right" vertical="top" shrinkToFit="1"/>
    </xf>
    <xf numFmtId="164" fontId="21" fillId="0" borderId="2" xfId="9" applyNumberFormat="1" applyFont="1" applyFill="1" applyProtection="1">
      <alignment horizontal="right" vertical="top" shrinkToFit="1"/>
    </xf>
    <xf numFmtId="164" fontId="18" fillId="0" borderId="2" xfId="9" applyNumberFormat="1" applyFont="1" applyFill="1" applyProtection="1">
      <alignment horizontal="right" vertical="top" shrinkToFit="1"/>
    </xf>
    <xf numFmtId="164" fontId="23" fillId="0" borderId="2" xfId="9" applyNumberFormat="1" applyFont="1" applyFill="1" applyProtection="1">
      <alignment horizontal="right" vertical="top" shrinkToFit="1"/>
    </xf>
    <xf numFmtId="164" fontId="18" fillId="0" borderId="2" xfId="50" applyNumberFormat="1" applyFont="1" applyFill="1" applyProtection="1">
      <alignment horizontal="right" vertical="top" shrinkToFit="1"/>
    </xf>
    <xf numFmtId="164" fontId="23" fillId="0" borderId="2" xfId="50" applyNumberFormat="1" applyFont="1" applyFill="1" applyProtection="1">
      <alignment horizontal="right" vertical="top" shrinkToFit="1"/>
    </xf>
    <xf numFmtId="164" fontId="23" fillId="0" borderId="2" xfId="12" applyNumberFormat="1" applyFont="1" applyFill="1" applyProtection="1">
      <alignment horizontal="right" vertical="top" shrinkToFit="1"/>
    </xf>
    <xf numFmtId="164" fontId="23" fillId="0" borderId="2" xfId="43" applyNumberFormat="1" applyFont="1" applyFill="1" applyProtection="1">
      <alignment horizontal="right" vertical="top" shrinkToFit="1"/>
    </xf>
    <xf numFmtId="0" fontId="23" fillId="0" borderId="2" xfId="11" applyNumberFormat="1" applyFont="1" applyFill="1" applyProtection="1">
      <alignment horizontal="left"/>
    </xf>
    <xf numFmtId="0" fontId="23" fillId="0" borderId="2" xfId="11" applyFont="1" applyFill="1" applyProtection="1">
      <alignment horizontal="left"/>
      <protection locked="0"/>
    </xf>
    <xf numFmtId="0" fontId="19" fillId="0" borderId="7" xfId="6" applyNumberFormat="1" applyFont="1" applyBorder="1" applyProtection="1">
      <alignment horizontal="center" vertical="center" wrapText="1"/>
    </xf>
    <xf numFmtId="0" fontId="19" fillId="0" borderId="7" xfId="6" applyFont="1" applyBorder="1" applyProtection="1">
      <alignment horizontal="center" vertical="center" wrapText="1"/>
      <protection locked="0"/>
    </xf>
    <xf numFmtId="0" fontId="19" fillId="0" borderId="2" xfId="6" applyNumberFormat="1" applyFont="1" applyProtection="1">
      <alignment horizontal="center" vertical="center" wrapText="1"/>
    </xf>
    <xf numFmtId="0" fontId="19" fillId="0" borderId="2" xfId="6" applyFont="1" applyProtection="1">
      <alignment horizontal="center" vertical="center" wrapText="1"/>
      <protection locked="0"/>
    </xf>
    <xf numFmtId="0" fontId="12" fillId="0" borderId="1" xfId="1" applyNumberFormat="1" applyFont="1" applyAlignment="1" applyProtection="1">
      <alignment horizontal="center" vertical="center" wrapText="1"/>
    </xf>
    <xf numFmtId="0" fontId="3" fillId="0" borderId="1" xfId="4" applyNumberFormat="1" applyProtection="1">
      <alignment horizontal="center"/>
    </xf>
    <xf numFmtId="0" fontId="3" fillId="0" borderId="1" xfId="4" applyProtection="1">
      <alignment horizontal="center"/>
      <protection locked="0"/>
    </xf>
    <xf numFmtId="0" fontId="16" fillId="0" borderId="3" xfId="5" applyNumberFormat="1" applyFont="1" applyBorder="1" applyAlignment="1" applyProtection="1">
      <alignment horizontal="right"/>
    </xf>
    <xf numFmtId="0" fontId="16" fillId="0" borderId="3" xfId="5" applyFont="1" applyBorder="1" applyAlignment="1" applyProtection="1">
      <alignment horizontal="right"/>
      <protection locked="0"/>
    </xf>
    <xf numFmtId="0" fontId="22" fillId="0" borderId="3" xfId="0" applyFont="1" applyBorder="1" applyAlignment="1"/>
    <xf numFmtId="0" fontId="22" fillId="0" borderId="1" xfId="0" applyFont="1" applyBorder="1" applyAlignment="1"/>
    <xf numFmtId="0" fontId="18" fillId="0" borderId="8" xfId="32" applyFont="1" applyBorder="1" applyAlignment="1" applyProtection="1">
      <alignment horizontal="center" vertical="center"/>
      <protection locked="0"/>
    </xf>
    <xf numFmtId="0" fontId="18" fillId="0" borderId="9" xfId="32" applyFont="1" applyBorder="1" applyAlignment="1" applyProtection="1">
      <alignment horizontal="center" vertical="center"/>
      <protection locked="0"/>
    </xf>
    <xf numFmtId="0" fontId="19" fillId="0" borderId="11" xfId="6" applyNumberFormat="1" applyFont="1" applyBorder="1" applyAlignment="1" applyProtection="1">
      <alignment horizontal="center" vertical="center" wrapText="1"/>
    </xf>
    <xf numFmtId="0" fontId="19" fillId="0" borderId="12" xfId="6" applyNumberFormat="1" applyFont="1" applyBorder="1" applyAlignment="1" applyProtection="1">
      <alignment horizontal="center" vertical="center" wrapText="1"/>
    </xf>
  </cellXfs>
  <cellStyles count="65">
    <cellStyle name="br" xfId="17"/>
    <cellStyle name="br 2" xfId="52"/>
    <cellStyle name="col" xfId="16"/>
    <cellStyle name="col 2" xfId="53"/>
    <cellStyle name="style0" xfId="18"/>
    <cellStyle name="style0 2" xfId="54"/>
    <cellStyle name="td" xfId="19"/>
    <cellStyle name="td 2" xfId="55"/>
    <cellStyle name="tr" xfId="15"/>
    <cellStyle name="tr 2" xfId="56"/>
    <cellStyle name="xl21" xfId="20"/>
    <cellStyle name="xl21 2" xfId="57"/>
    <cellStyle name="xl22" xfId="1"/>
    <cellStyle name="xl22 2" xfId="34"/>
    <cellStyle name="xl23" xfId="2"/>
    <cellStyle name="xl23 2" xfId="35"/>
    <cellStyle name="xl24" xfId="3"/>
    <cellStyle name="xl24 2" xfId="36"/>
    <cellStyle name="xl25" xfId="4"/>
    <cellStyle name="xl25 2" xfId="37"/>
    <cellStyle name="xl26" xfId="5"/>
    <cellStyle name="xl26 2" xfId="58"/>
    <cellStyle name="xl27" xfId="21"/>
    <cellStyle name="xl27 2" xfId="38"/>
    <cellStyle name="xl28" xfId="6"/>
    <cellStyle name="xl28 2" xfId="59"/>
    <cellStyle name="xl29" xfId="22"/>
    <cellStyle name="xl29 2" xfId="60"/>
    <cellStyle name="xl30" xfId="23"/>
    <cellStyle name="xl30 2" xfId="39"/>
    <cellStyle name="xl31" xfId="8"/>
    <cellStyle name="xl31 2" xfId="61"/>
    <cellStyle name="xl32" xfId="24"/>
    <cellStyle name="xl32 2" xfId="40"/>
    <cellStyle name="xl33" xfId="25"/>
    <cellStyle name="xl33 2" xfId="41"/>
    <cellStyle name="xl34" xfId="26"/>
    <cellStyle name="xl34 2" xfId="42"/>
    <cellStyle name="xl35" xfId="11"/>
    <cellStyle name="xl35 2" xfId="62"/>
    <cellStyle name="xl36" xfId="12"/>
    <cellStyle name="xl36 2" xfId="43"/>
    <cellStyle name="xl37" xfId="13"/>
    <cellStyle name="xl37 2" xfId="44"/>
    <cellStyle name="xl38" xfId="27"/>
    <cellStyle name="xl38 2" xfId="45"/>
    <cellStyle name="xl39" xfId="14"/>
    <cellStyle name="xl39 2" xfId="63"/>
    <cellStyle name="xl40" xfId="7"/>
    <cellStyle name="xl40 2" xfId="46"/>
    <cellStyle name="xl41" xfId="9"/>
    <cellStyle name="xl41 2" xfId="47"/>
    <cellStyle name="xl42" xfId="10"/>
    <cellStyle name="xl42 2" xfId="48"/>
    <cellStyle name="xl43" xfId="28"/>
    <cellStyle name="xl43 2" xfId="49"/>
    <cellStyle name="xl44" xfId="29"/>
    <cellStyle name="xl44 2" xfId="50"/>
    <cellStyle name="xl45" xfId="30"/>
    <cellStyle name="xl45 2" xfId="51"/>
    <cellStyle name="xl46" xfId="31"/>
    <cellStyle name="Обычный" xfId="0" builtinId="0"/>
    <cellStyle name="Обычный 2" xfId="32"/>
    <cellStyle name="Обычный 3" xfId="33"/>
    <cellStyle name="Обычный 4" xfId="6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H83"/>
  <sheetViews>
    <sheetView showGridLines="0" tabSelected="1" zoomScale="85" zoomScaleNormal="85" workbookViewId="0">
      <pane ySplit="6" topLeftCell="A7" activePane="bottomLeft" state="frozen"/>
      <selection pane="bottomLeft" activeCell="A3" sqref="A3:D3"/>
    </sheetView>
  </sheetViews>
  <sheetFormatPr defaultRowHeight="15"/>
  <cols>
    <col min="1" max="1" width="75.28515625" style="1" customWidth="1"/>
    <col min="2" max="2" width="7.5703125" style="1" customWidth="1"/>
    <col min="3" max="3" width="13.5703125" style="1" customWidth="1"/>
    <col min="4" max="4" width="13.7109375" style="1" customWidth="1"/>
    <col min="5" max="5" width="14.28515625" style="7" customWidth="1"/>
    <col min="6" max="7" width="13.7109375" style="1" customWidth="1"/>
    <col min="8" max="8" width="12.42578125" style="7" customWidth="1"/>
    <col min="9" max="9" width="13.42578125" style="1" customWidth="1"/>
    <col min="10" max="16384" width="9.140625" style="1"/>
  </cols>
  <sheetData>
    <row r="1" spans="1:8" ht="35.25" customHeight="1">
      <c r="A1" s="40" t="s">
        <v>156</v>
      </c>
      <c r="B1" s="40"/>
      <c r="C1" s="40"/>
      <c r="D1" s="40"/>
      <c r="E1" s="40"/>
      <c r="F1" s="40"/>
      <c r="G1" s="40"/>
      <c r="H1" s="40"/>
    </row>
    <row r="2" spans="1:8" ht="0.75" customHeight="1">
      <c r="A2" s="40"/>
      <c r="B2" s="40"/>
      <c r="C2" s="40"/>
      <c r="D2" s="40"/>
      <c r="E2" s="40"/>
      <c r="F2" s="40"/>
      <c r="G2" s="40"/>
      <c r="H2" s="40"/>
    </row>
    <row r="3" spans="1:8" ht="15.75" customHeight="1">
      <c r="A3" s="41"/>
      <c r="B3" s="42"/>
      <c r="C3" s="42"/>
      <c r="D3" s="42"/>
      <c r="E3" s="5"/>
      <c r="F3" s="3"/>
      <c r="G3" s="3"/>
    </row>
    <row r="4" spans="1:8" ht="12.75" customHeight="1">
      <c r="A4" s="43" t="s">
        <v>0</v>
      </c>
      <c r="B4" s="44"/>
      <c r="C4" s="44"/>
      <c r="D4" s="44"/>
      <c r="E4" s="45"/>
      <c r="F4" s="45"/>
      <c r="G4" s="46"/>
      <c r="H4" s="46"/>
    </row>
    <row r="5" spans="1:8" ht="39" customHeight="1">
      <c r="A5" s="38" t="s">
        <v>1</v>
      </c>
      <c r="B5" s="38" t="s">
        <v>148</v>
      </c>
      <c r="C5" s="38" t="s">
        <v>149</v>
      </c>
      <c r="D5" s="36" t="s">
        <v>150</v>
      </c>
      <c r="E5" s="47" t="s">
        <v>151</v>
      </c>
      <c r="F5" s="36" t="s">
        <v>152</v>
      </c>
      <c r="G5" s="49" t="s">
        <v>153</v>
      </c>
      <c r="H5" s="50"/>
    </row>
    <row r="6" spans="1:8" ht="27" customHeight="1">
      <c r="A6" s="39"/>
      <c r="B6" s="39"/>
      <c r="C6" s="39"/>
      <c r="D6" s="37"/>
      <c r="E6" s="48"/>
      <c r="F6" s="37"/>
      <c r="G6" s="10" t="s">
        <v>154</v>
      </c>
      <c r="H6" s="8" t="s">
        <v>155</v>
      </c>
    </row>
    <row r="7" spans="1:8" ht="15" customHeight="1">
      <c r="A7" s="11">
        <v>1</v>
      </c>
      <c r="B7" s="11">
        <v>2</v>
      </c>
      <c r="C7" s="12">
        <v>3</v>
      </c>
      <c r="D7" s="11">
        <v>4</v>
      </c>
      <c r="E7" s="13">
        <v>5</v>
      </c>
      <c r="F7" s="11">
        <v>6</v>
      </c>
      <c r="G7" s="9">
        <v>7</v>
      </c>
      <c r="H7" s="14">
        <v>8</v>
      </c>
    </row>
    <row r="8" spans="1:8" s="4" customFormat="1">
      <c r="A8" s="18" t="s">
        <v>119</v>
      </c>
      <c r="B8" s="19" t="s">
        <v>120</v>
      </c>
      <c r="C8" s="27">
        <f>1634498053.02/1000</f>
        <v>1634498.05302</v>
      </c>
      <c r="D8" s="27">
        <v>560310.5</v>
      </c>
      <c r="E8" s="27">
        <f>D8/C8*100</f>
        <v>34.280279438983456</v>
      </c>
      <c r="F8" s="27">
        <v>560840.80000000005</v>
      </c>
      <c r="G8" s="27">
        <f>D8-F8</f>
        <v>-530.30000000004657</v>
      </c>
      <c r="H8" s="27">
        <f>D8/F8*100</f>
        <v>99.905445538199061</v>
      </c>
    </row>
    <row r="9" spans="1:8" s="4" customFormat="1" ht="45">
      <c r="A9" s="15" t="s">
        <v>2</v>
      </c>
      <c r="B9" s="16" t="s">
        <v>3</v>
      </c>
      <c r="C9" s="26">
        <f>75649400/1000</f>
        <v>75649.399999999994</v>
      </c>
      <c r="D9" s="26">
        <f>55399005.08/1000</f>
        <v>55399.005079999995</v>
      </c>
      <c r="E9" s="26">
        <f t="shared" ref="E9:E72" si="0">D9/C9*100</f>
        <v>73.231255079352906</v>
      </c>
      <c r="F9" s="26">
        <v>50307.75548</v>
      </c>
      <c r="G9" s="26">
        <f t="shared" ref="G9:G72" si="1">D9-F9</f>
        <v>5091.2495999999956</v>
      </c>
      <c r="H9" s="26">
        <f t="shared" ref="H9:H72" si="2">D9/F9*100</f>
        <v>110.12020820929695</v>
      </c>
    </row>
    <row r="10" spans="1:8" s="4" customFormat="1" ht="45">
      <c r="A10" s="15" t="s">
        <v>4</v>
      </c>
      <c r="B10" s="16" t="s">
        <v>5</v>
      </c>
      <c r="C10" s="26">
        <f>143773700/1000</f>
        <v>143773.70000000001</v>
      </c>
      <c r="D10" s="26">
        <f>104006027.7/1000</f>
        <v>104006.02770000001</v>
      </c>
      <c r="E10" s="26">
        <f t="shared" si="0"/>
        <v>72.340092589952121</v>
      </c>
      <c r="F10" s="26">
        <v>103170.11197</v>
      </c>
      <c r="G10" s="26">
        <f t="shared" si="1"/>
        <v>835.9157300000079</v>
      </c>
      <c r="H10" s="26">
        <f t="shared" si="2"/>
        <v>100.81023051544528</v>
      </c>
    </row>
    <row r="11" spans="1:8" s="4" customFormat="1">
      <c r="A11" s="15" t="s">
        <v>6</v>
      </c>
      <c r="B11" s="16" t="s">
        <v>7</v>
      </c>
      <c r="C11" s="26">
        <f>107082000/1000</f>
        <v>107082</v>
      </c>
      <c r="D11" s="26">
        <f>73953049.14/1000</f>
        <v>73953.049140000003</v>
      </c>
      <c r="E11" s="26">
        <f t="shared" si="0"/>
        <v>69.062073121533032</v>
      </c>
      <c r="F11" s="26">
        <v>75178.593569999997</v>
      </c>
      <c r="G11" s="26">
        <f t="shared" si="1"/>
        <v>-1225.5444299999945</v>
      </c>
      <c r="H11" s="26">
        <f t="shared" si="2"/>
        <v>98.369822615983267</v>
      </c>
    </row>
    <row r="12" spans="1:8" s="4" customFormat="1" ht="30">
      <c r="A12" s="15" t="s">
        <v>8</v>
      </c>
      <c r="B12" s="16" t="s">
        <v>9</v>
      </c>
      <c r="C12" s="26">
        <f>137482400/1000</f>
        <v>137482.4</v>
      </c>
      <c r="D12" s="26">
        <f>83777067.13/1000</f>
        <v>83777.067129999996</v>
      </c>
      <c r="E12" s="26">
        <f t="shared" si="0"/>
        <v>60.936575976270412</v>
      </c>
      <c r="F12" s="26">
        <v>80149.443090000001</v>
      </c>
      <c r="G12" s="26">
        <f t="shared" si="1"/>
        <v>3627.6240399999951</v>
      </c>
      <c r="H12" s="26">
        <f t="shared" si="2"/>
        <v>104.52607516676882</v>
      </c>
    </row>
    <row r="13" spans="1:8" s="4" customFormat="1">
      <c r="A13" s="15" t="s">
        <v>10</v>
      </c>
      <c r="B13" s="16" t="s">
        <v>11</v>
      </c>
      <c r="C13" s="26">
        <f>19357200/1000</f>
        <v>19357.2</v>
      </c>
      <c r="D13" s="26">
        <f>13349255.67/1000</f>
        <v>13349.25567</v>
      </c>
      <c r="E13" s="26">
        <f t="shared" si="0"/>
        <v>68.962740840617442</v>
      </c>
      <c r="F13" s="26">
        <v>54336.417739999997</v>
      </c>
      <c r="G13" s="26">
        <f t="shared" si="1"/>
        <v>-40987.162069999998</v>
      </c>
      <c r="H13" s="26">
        <f t="shared" si="2"/>
        <v>24.56778754513455</v>
      </c>
    </row>
    <row r="14" spans="1:8" s="4" customFormat="1">
      <c r="A14" s="15" t="s">
        <v>12</v>
      </c>
      <c r="B14" s="16" t="s">
        <v>13</v>
      </c>
      <c r="C14" s="26">
        <f>749148576/1000</f>
        <v>749148.576</v>
      </c>
      <c r="D14" s="26">
        <v>0</v>
      </c>
      <c r="E14" s="26">
        <f t="shared" si="0"/>
        <v>0</v>
      </c>
      <c r="F14" s="26">
        <v>0</v>
      </c>
      <c r="G14" s="26" t="s">
        <v>147</v>
      </c>
      <c r="H14" s="26" t="s">
        <v>147</v>
      </c>
    </row>
    <row r="15" spans="1:8" s="4" customFormat="1" ht="30">
      <c r="A15" s="15" t="s">
        <v>14</v>
      </c>
      <c r="B15" s="16" t="s">
        <v>15</v>
      </c>
      <c r="C15" s="26">
        <f>225000/1000</f>
        <v>225</v>
      </c>
      <c r="D15" s="26">
        <f>225000/1000</f>
        <v>225</v>
      </c>
      <c r="E15" s="26">
        <f t="shared" si="0"/>
        <v>100</v>
      </c>
      <c r="F15" s="26">
        <v>225</v>
      </c>
      <c r="G15" s="26">
        <f t="shared" si="1"/>
        <v>0</v>
      </c>
      <c r="H15" s="26">
        <f t="shared" si="2"/>
        <v>100</v>
      </c>
    </row>
    <row r="16" spans="1:8" s="4" customFormat="1">
      <c r="A16" s="15" t="s">
        <v>16</v>
      </c>
      <c r="B16" s="16" t="s">
        <v>17</v>
      </c>
      <c r="C16" s="26">
        <f>401779777.02/1000</f>
        <v>401779.77701999998</v>
      </c>
      <c r="D16" s="26">
        <f>229816675.03/1000</f>
        <v>229816.67503000001</v>
      </c>
      <c r="E16" s="26">
        <f t="shared" si="0"/>
        <v>57.199662146897978</v>
      </c>
      <c r="F16" s="26">
        <v>199751.22549000001</v>
      </c>
      <c r="G16" s="26">
        <f t="shared" si="1"/>
        <v>30065.449540000001</v>
      </c>
      <c r="H16" s="26">
        <f t="shared" si="2"/>
        <v>115.05144685157647</v>
      </c>
    </row>
    <row r="17" spans="1:8" s="4" customFormat="1">
      <c r="A17" s="18" t="s">
        <v>122</v>
      </c>
      <c r="B17" s="20" t="s">
        <v>121</v>
      </c>
      <c r="C17" s="27">
        <f>26427400/1000</f>
        <v>26427.4</v>
      </c>
      <c r="D17" s="27">
        <f>19400115.69/1000</f>
        <v>19400.115690000002</v>
      </c>
      <c r="E17" s="27">
        <f t="shared" si="0"/>
        <v>73.409096959973368</v>
      </c>
      <c r="F17" s="27">
        <v>19500.400000000001</v>
      </c>
      <c r="G17" s="27">
        <f t="shared" si="1"/>
        <v>-100.2843099999991</v>
      </c>
      <c r="H17" s="27">
        <f t="shared" si="2"/>
        <v>99.485732036265929</v>
      </c>
    </row>
    <row r="18" spans="1:8" s="4" customFormat="1">
      <c r="A18" s="15" t="s">
        <v>18</v>
      </c>
      <c r="B18" s="16" t="s">
        <v>19</v>
      </c>
      <c r="C18" s="26">
        <f>26427400/1000</f>
        <v>26427.4</v>
      </c>
      <c r="D18" s="26">
        <f>19400115.69/1000</f>
        <v>19400.115690000002</v>
      </c>
      <c r="E18" s="26">
        <f t="shared" si="0"/>
        <v>73.409096959973368</v>
      </c>
      <c r="F18" s="26">
        <v>19500.400000000001</v>
      </c>
      <c r="G18" s="26">
        <f t="shared" si="1"/>
        <v>-100.2843099999991</v>
      </c>
      <c r="H18" s="26">
        <f t="shared" si="2"/>
        <v>99.485732036265929</v>
      </c>
    </row>
    <row r="19" spans="1:8" s="4" customFormat="1" ht="28.5">
      <c r="A19" s="18" t="s">
        <v>123</v>
      </c>
      <c r="B19" s="20" t="s">
        <v>124</v>
      </c>
      <c r="C19" s="27">
        <f>347137604/1000</f>
        <v>347137.60399999999</v>
      </c>
      <c r="D19" s="27">
        <f>200967952.08/1000</f>
        <v>200967.95208000002</v>
      </c>
      <c r="E19" s="27">
        <f t="shared" si="0"/>
        <v>57.892878721372988</v>
      </c>
      <c r="F19" s="27">
        <v>148318.74</v>
      </c>
      <c r="G19" s="27">
        <f t="shared" si="1"/>
        <v>52649.212080000027</v>
      </c>
      <c r="H19" s="27">
        <f t="shared" si="2"/>
        <v>135.49734314086004</v>
      </c>
    </row>
    <row r="20" spans="1:8" s="4" customFormat="1">
      <c r="A20" s="15" t="s">
        <v>20</v>
      </c>
      <c r="B20" s="16" t="s">
        <v>21</v>
      </c>
      <c r="C20" s="26">
        <f>117977600/1000</f>
        <v>117977.60000000001</v>
      </c>
      <c r="D20" s="26">
        <f>66646171.37/1000</f>
        <v>66646.171369999996</v>
      </c>
      <c r="E20" s="26">
        <f t="shared" si="0"/>
        <v>56.490529871772267</v>
      </c>
      <c r="F20" s="26">
        <v>45556.518479999999</v>
      </c>
      <c r="G20" s="26">
        <f t="shared" si="1"/>
        <v>21089.652889999998</v>
      </c>
      <c r="H20" s="26">
        <f t="shared" si="2"/>
        <v>146.29338148229803</v>
      </c>
    </row>
    <row r="21" spans="1:8" s="4" customFormat="1" ht="30">
      <c r="A21" s="15" t="s">
        <v>22</v>
      </c>
      <c r="B21" s="16" t="s">
        <v>23</v>
      </c>
      <c r="C21" s="26">
        <f>119689704/1000</f>
        <v>119689.704</v>
      </c>
      <c r="D21" s="26">
        <f>54530380.71/1000</f>
        <v>54530.380709999998</v>
      </c>
      <c r="E21" s="26">
        <f t="shared" si="0"/>
        <v>45.559792436281739</v>
      </c>
      <c r="F21" s="26">
        <v>39030.217900000003</v>
      </c>
      <c r="G21" s="26">
        <f t="shared" si="1"/>
        <v>15500.162809999994</v>
      </c>
      <c r="H21" s="26">
        <f t="shared" si="2"/>
        <v>139.71323667654951</v>
      </c>
    </row>
    <row r="22" spans="1:8" s="4" customFormat="1">
      <c r="A22" s="21" t="s">
        <v>24</v>
      </c>
      <c r="B22" s="22" t="s">
        <v>25</v>
      </c>
      <c r="C22" s="28">
        <f>104470300/1000</f>
        <v>104470.3</v>
      </c>
      <c r="D22" s="28">
        <f>77391400/1000</f>
        <v>77391.399999999994</v>
      </c>
      <c r="E22" s="28">
        <f t="shared" si="0"/>
        <v>74.079810242719688</v>
      </c>
      <c r="F22" s="28">
        <v>63732</v>
      </c>
      <c r="G22" s="28">
        <f t="shared" si="1"/>
        <v>13659.399999999994</v>
      </c>
      <c r="H22" s="28">
        <f t="shared" si="2"/>
        <v>121.43256135065586</v>
      </c>
    </row>
    <row r="23" spans="1:8" s="4" customFormat="1" ht="30">
      <c r="A23" s="21" t="s">
        <v>26</v>
      </c>
      <c r="B23" s="22" t="s">
        <v>27</v>
      </c>
      <c r="C23" s="28">
        <f>5000000/1000</f>
        <v>5000</v>
      </c>
      <c r="D23" s="28">
        <f>2400000/1000</f>
        <v>2400</v>
      </c>
      <c r="E23" s="28">
        <f t="shared" si="0"/>
        <v>48</v>
      </c>
      <c r="F23" s="28">
        <v>0</v>
      </c>
      <c r="G23" s="28" t="s">
        <v>147</v>
      </c>
      <c r="H23" s="28" t="s">
        <v>147</v>
      </c>
    </row>
    <row r="24" spans="1:8" s="4" customFormat="1">
      <c r="A24" s="23" t="s">
        <v>125</v>
      </c>
      <c r="B24" s="24" t="s">
        <v>126</v>
      </c>
      <c r="C24" s="29">
        <f>10342035108.21/1000</f>
        <v>10342035.108209999</v>
      </c>
      <c r="D24" s="29">
        <f>6403454996.26/1000</f>
        <v>6403454.9962600004</v>
      </c>
      <c r="E24" s="29">
        <f t="shared" si="0"/>
        <v>61.916778750602319</v>
      </c>
      <c r="F24" s="29">
        <v>4361488.59</v>
      </c>
      <c r="G24" s="29">
        <f t="shared" si="1"/>
        <v>2041966.4062600005</v>
      </c>
      <c r="H24" s="29">
        <f t="shared" si="2"/>
        <v>146.81810726140179</v>
      </c>
    </row>
    <row r="25" spans="1:8" s="4" customFormat="1">
      <c r="A25" s="21" t="s">
        <v>28</v>
      </c>
      <c r="B25" s="22" t="s">
        <v>29</v>
      </c>
      <c r="C25" s="28">
        <f>224689787.05/1000</f>
        <v>224689.78705000001</v>
      </c>
      <c r="D25" s="28">
        <f>155348146.94/1000</f>
        <v>155348.14694000001</v>
      </c>
      <c r="E25" s="28">
        <f t="shared" si="0"/>
        <v>69.138944399564778</v>
      </c>
      <c r="F25" s="28">
        <v>171654.37609000001</v>
      </c>
      <c r="G25" s="28">
        <f t="shared" si="1"/>
        <v>-16306.229149999999</v>
      </c>
      <c r="H25" s="28">
        <f t="shared" si="2"/>
        <v>90.500545618801766</v>
      </c>
    </row>
    <row r="26" spans="1:8" s="4" customFormat="1">
      <c r="A26" s="21" t="s">
        <v>30</v>
      </c>
      <c r="B26" s="22" t="s">
        <v>31</v>
      </c>
      <c r="C26" s="28">
        <f>2398329458.7/1000</f>
        <v>2398329.4586999998</v>
      </c>
      <c r="D26" s="28">
        <f>1719061039.08/1000</f>
        <v>1719061.03908</v>
      </c>
      <c r="E26" s="28">
        <f t="shared" si="0"/>
        <v>71.677435009775792</v>
      </c>
      <c r="F26" s="28">
        <v>1680528.3299799999</v>
      </c>
      <c r="G26" s="28">
        <f t="shared" si="1"/>
        <v>38532.709100000095</v>
      </c>
      <c r="H26" s="28">
        <f t="shared" si="2"/>
        <v>102.29289256316545</v>
      </c>
    </row>
    <row r="27" spans="1:8" s="4" customFormat="1">
      <c r="A27" s="21" t="s">
        <v>32</v>
      </c>
      <c r="B27" s="22" t="s">
        <v>33</v>
      </c>
      <c r="C27" s="28">
        <f>53637780/1000</f>
        <v>53637.78</v>
      </c>
      <c r="D27" s="28">
        <f>17044942.37/1000</f>
        <v>17044.942370000001</v>
      </c>
      <c r="E27" s="28">
        <f t="shared" si="0"/>
        <v>31.777866962428352</v>
      </c>
      <c r="F27" s="28">
        <v>28141.530620000001</v>
      </c>
      <c r="G27" s="28">
        <f t="shared" si="1"/>
        <v>-11096.588250000001</v>
      </c>
      <c r="H27" s="28">
        <f t="shared" si="2"/>
        <v>60.568639993896682</v>
      </c>
    </row>
    <row r="28" spans="1:8" s="4" customFormat="1">
      <c r="A28" s="21" t="s">
        <v>34</v>
      </c>
      <c r="B28" s="22" t="s">
        <v>35</v>
      </c>
      <c r="C28" s="28">
        <f>151782797.7/1000</f>
        <v>151782.7977</v>
      </c>
      <c r="D28" s="28">
        <f>106424130.41/1000</f>
        <v>106424.13041</v>
      </c>
      <c r="E28" s="28">
        <f t="shared" si="0"/>
        <v>70.116068502274018</v>
      </c>
      <c r="F28" s="28">
        <v>101004.95014</v>
      </c>
      <c r="G28" s="28">
        <f t="shared" si="1"/>
        <v>5419.1802699999971</v>
      </c>
      <c r="H28" s="28">
        <f t="shared" si="2"/>
        <v>105.36526206140258</v>
      </c>
    </row>
    <row r="29" spans="1:8" s="4" customFormat="1">
      <c r="A29" s="21" t="s">
        <v>36</v>
      </c>
      <c r="B29" s="22" t="s">
        <v>37</v>
      </c>
      <c r="C29" s="28">
        <f>249089300/1000</f>
        <v>249089.3</v>
      </c>
      <c r="D29" s="28">
        <f>148544241.29/1000</f>
        <v>148544.24129000001</v>
      </c>
      <c r="E29" s="28">
        <f t="shared" si="0"/>
        <v>59.634934655964756</v>
      </c>
      <c r="F29" s="28">
        <v>160139.52655000001</v>
      </c>
      <c r="G29" s="28">
        <f t="shared" si="1"/>
        <v>-11595.285260000004</v>
      </c>
      <c r="H29" s="28">
        <f t="shared" si="2"/>
        <v>92.759260933383842</v>
      </c>
    </row>
    <row r="30" spans="1:8" s="4" customFormat="1">
      <c r="A30" s="21" t="s">
        <v>38</v>
      </c>
      <c r="B30" s="22" t="s">
        <v>39</v>
      </c>
      <c r="C30" s="28">
        <f>5269034606.05/1000</f>
        <v>5269034.6060500005</v>
      </c>
      <c r="D30" s="28">
        <f>2646708136.93/1000</f>
        <v>2646708.13693</v>
      </c>
      <c r="E30" s="28">
        <f t="shared" si="0"/>
        <v>50.231367504988519</v>
      </c>
      <c r="F30" s="28">
        <v>1935802.5981099999</v>
      </c>
      <c r="G30" s="28">
        <f t="shared" si="1"/>
        <v>710905.53882000013</v>
      </c>
      <c r="H30" s="28">
        <f t="shared" si="2"/>
        <v>136.72407194380693</v>
      </c>
    </row>
    <row r="31" spans="1:8" s="4" customFormat="1">
      <c r="A31" s="21" t="s">
        <v>40</v>
      </c>
      <c r="B31" s="22" t="s">
        <v>41</v>
      </c>
      <c r="C31" s="28">
        <f>1995471378.71/1000</f>
        <v>1995471.3787100001</v>
      </c>
      <c r="D31" s="28">
        <f>1610324359.24/1000</f>
        <v>1610324.3592399999</v>
      </c>
      <c r="E31" s="28">
        <f t="shared" si="0"/>
        <v>80.698945443207322</v>
      </c>
      <c r="F31" s="28">
        <v>284217.28339</v>
      </c>
      <c r="G31" s="28">
        <f t="shared" si="1"/>
        <v>1326107.0758499999</v>
      </c>
      <c r="H31" s="28">
        <f t="shared" si="2"/>
        <v>566.58213745232717</v>
      </c>
    </row>
    <row r="32" spans="1:8" s="4" customFormat="1">
      <c r="A32" s="23" t="s">
        <v>128</v>
      </c>
      <c r="B32" s="24" t="s">
        <v>127</v>
      </c>
      <c r="C32" s="29">
        <f>1628779442.2/1000</f>
        <v>1628779.4421999999</v>
      </c>
      <c r="D32" s="29">
        <f>969604421.08/1000</f>
        <v>969604.42108</v>
      </c>
      <c r="E32" s="29">
        <f t="shared" si="0"/>
        <v>59.529510009676379</v>
      </c>
      <c r="F32" s="29">
        <v>689429.68</v>
      </c>
      <c r="G32" s="29">
        <f t="shared" si="1"/>
        <v>280174.74107999995</v>
      </c>
      <c r="H32" s="29">
        <f t="shared" si="2"/>
        <v>140.63862482392693</v>
      </c>
    </row>
    <row r="33" spans="1:8" s="4" customFormat="1">
      <c r="A33" s="21" t="s">
        <v>42</v>
      </c>
      <c r="B33" s="22" t="s">
        <v>43</v>
      </c>
      <c r="C33" s="28">
        <f>1013660794.2/1000</f>
        <v>1013660.7942</v>
      </c>
      <c r="D33" s="28">
        <f>915347672.3/1000</f>
        <v>915347.67229999998</v>
      </c>
      <c r="E33" s="28">
        <f t="shared" si="0"/>
        <v>90.301181375216302</v>
      </c>
      <c r="F33" s="28">
        <v>644067.09947999998</v>
      </c>
      <c r="G33" s="28">
        <f t="shared" si="1"/>
        <v>271280.57282</v>
      </c>
      <c r="H33" s="28">
        <f t="shared" si="2"/>
        <v>142.11992400155569</v>
      </c>
    </row>
    <row r="34" spans="1:8" s="4" customFormat="1">
      <c r="A34" s="21" t="s">
        <v>44</v>
      </c>
      <c r="B34" s="22" t="s">
        <v>45</v>
      </c>
      <c r="C34" s="28">
        <f>374662120/1000</f>
        <v>374662.12</v>
      </c>
      <c r="D34" s="28">
        <f>2566575/1000</f>
        <v>2566.5749999999998</v>
      </c>
      <c r="E34" s="28">
        <f t="shared" si="0"/>
        <v>0.68503722767596575</v>
      </c>
      <c r="F34" s="28">
        <v>4261.0749999999998</v>
      </c>
      <c r="G34" s="28">
        <f t="shared" si="1"/>
        <v>-1694.5</v>
      </c>
      <c r="H34" s="28">
        <f t="shared" si="2"/>
        <v>60.233039784561406</v>
      </c>
    </row>
    <row r="35" spans="1:8" s="4" customFormat="1">
      <c r="A35" s="21" t="s">
        <v>46</v>
      </c>
      <c r="B35" s="22" t="s">
        <v>47</v>
      </c>
      <c r="C35" s="28">
        <f>178947028/1000</f>
        <v>178947.02799999999</v>
      </c>
      <c r="D35" s="28">
        <f>10156211.14/1000</f>
        <v>10156.211140000001</v>
      </c>
      <c r="E35" s="28">
        <f t="shared" si="0"/>
        <v>5.6755405515871447</v>
      </c>
      <c r="F35" s="28">
        <v>0</v>
      </c>
      <c r="G35" s="28" t="s">
        <v>147</v>
      </c>
      <c r="H35" s="28" t="s">
        <v>147</v>
      </c>
    </row>
    <row r="36" spans="1:8" s="4" customFormat="1">
      <c r="A36" s="21" t="s">
        <v>48</v>
      </c>
      <c r="B36" s="22" t="s">
        <v>49</v>
      </c>
      <c r="C36" s="28">
        <f>61509500/1000</f>
        <v>61509.5</v>
      </c>
      <c r="D36" s="28">
        <f>41533962.64/1000</f>
        <v>41533.962639999998</v>
      </c>
      <c r="E36" s="28">
        <f t="shared" si="0"/>
        <v>67.524467992749081</v>
      </c>
      <c r="F36" s="28">
        <v>41101.506950000003</v>
      </c>
      <c r="G36" s="28">
        <f t="shared" si="1"/>
        <v>432.45568999999523</v>
      </c>
      <c r="H36" s="28">
        <f t="shared" si="2"/>
        <v>101.05216504719907</v>
      </c>
    </row>
    <row r="37" spans="1:8" s="4" customFormat="1">
      <c r="A37" s="23" t="s">
        <v>129</v>
      </c>
      <c r="B37" s="24" t="s">
        <v>130</v>
      </c>
      <c r="C37" s="29">
        <f>147652700/1000</f>
        <v>147652.70000000001</v>
      </c>
      <c r="D37" s="29">
        <f>13400963.5/1000</f>
        <v>13400.9635</v>
      </c>
      <c r="E37" s="29">
        <f t="shared" si="0"/>
        <v>9.0760030124745423</v>
      </c>
      <c r="F37" s="29">
        <v>13133.21</v>
      </c>
      <c r="G37" s="29">
        <f t="shared" si="1"/>
        <v>267.75350000000071</v>
      </c>
      <c r="H37" s="29">
        <f t="shared" si="2"/>
        <v>102.03875137913731</v>
      </c>
    </row>
    <row r="38" spans="1:8" s="4" customFormat="1">
      <c r="A38" s="21" t="s">
        <v>50</v>
      </c>
      <c r="B38" s="22" t="s">
        <v>51</v>
      </c>
      <c r="C38" s="28">
        <f>16871100/1000</f>
        <v>16871.099999999999</v>
      </c>
      <c r="D38" s="28">
        <f>11071318.5/1000</f>
        <v>11071.318499999999</v>
      </c>
      <c r="E38" s="28">
        <f t="shared" si="0"/>
        <v>65.622979533047641</v>
      </c>
      <c r="F38" s="28">
        <v>11193.87012</v>
      </c>
      <c r="G38" s="28">
        <f t="shared" si="1"/>
        <v>-122.55162000000018</v>
      </c>
      <c r="H38" s="28">
        <f t="shared" si="2"/>
        <v>98.905189905848218</v>
      </c>
    </row>
    <row r="39" spans="1:8" s="4" customFormat="1">
      <c r="A39" s="21" t="s">
        <v>52</v>
      </c>
      <c r="B39" s="22" t="s">
        <v>53</v>
      </c>
      <c r="C39" s="28">
        <f>130781600/1000</f>
        <v>130781.6</v>
      </c>
      <c r="D39" s="28">
        <f>2329645/1000</f>
        <v>2329.645</v>
      </c>
      <c r="E39" s="28">
        <f t="shared" si="0"/>
        <v>1.7813247429301979</v>
      </c>
      <c r="F39" s="28">
        <v>1939.3425</v>
      </c>
      <c r="G39" s="28">
        <f t="shared" si="1"/>
        <v>390.30250000000001</v>
      </c>
      <c r="H39" s="28">
        <f t="shared" si="2"/>
        <v>120.1255064538626</v>
      </c>
    </row>
    <row r="40" spans="1:8" s="4" customFormat="1">
      <c r="A40" s="23" t="s">
        <v>131</v>
      </c>
      <c r="B40" s="24" t="s">
        <v>132</v>
      </c>
      <c r="C40" s="29">
        <f>11975998924.89/1000</f>
        <v>11975998.924889999</v>
      </c>
      <c r="D40" s="29">
        <f>8394495763.99/1000</f>
        <v>8394495.7639899999</v>
      </c>
      <c r="E40" s="29">
        <f t="shared" si="0"/>
        <v>70.094326299107493</v>
      </c>
      <c r="F40" s="29">
        <v>7588777.4699999997</v>
      </c>
      <c r="G40" s="29">
        <f t="shared" si="1"/>
        <v>805718.29399000015</v>
      </c>
      <c r="H40" s="29">
        <f t="shared" si="2"/>
        <v>110.61723442511222</v>
      </c>
    </row>
    <row r="41" spans="1:8" s="4" customFormat="1">
      <c r="A41" s="21" t="s">
        <v>54</v>
      </c>
      <c r="B41" s="22" t="s">
        <v>55</v>
      </c>
      <c r="C41" s="28">
        <f>3381791627/1000</f>
        <v>3381791.6269999999</v>
      </c>
      <c r="D41" s="28">
        <f>2559248914.65/1000</f>
        <v>2559248.9146500002</v>
      </c>
      <c r="E41" s="28">
        <f t="shared" si="0"/>
        <v>75.677309453874301</v>
      </c>
      <c r="F41" s="28">
        <v>2128156.6164799999</v>
      </c>
      <c r="G41" s="28">
        <f t="shared" si="1"/>
        <v>431092.29817000031</v>
      </c>
      <c r="H41" s="28">
        <f t="shared" si="2"/>
        <v>120.2566058734452</v>
      </c>
    </row>
    <row r="42" spans="1:8" s="4" customFormat="1">
      <c r="A42" s="21" t="s">
        <v>56</v>
      </c>
      <c r="B42" s="22" t="s">
        <v>57</v>
      </c>
      <c r="C42" s="28">
        <f>6440467622/1000</f>
        <v>6440467.6220000004</v>
      </c>
      <c r="D42" s="28">
        <f>4392949942.77/1000</f>
        <v>4392949.9427700005</v>
      </c>
      <c r="E42" s="28">
        <f t="shared" si="0"/>
        <v>68.20855566083614</v>
      </c>
      <c r="F42" s="28">
        <v>4256998.29715</v>
      </c>
      <c r="G42" s="28">
        <f t="shared" si="1"/>
        <v>135951.64562000055</v>
      </c>
      <c r="H42" s="28">
        <f t="shared" si="2"/>
        <v>103.19360347668022</v>
      </c>
    </row>
    <row r="43" spans="1:8" s="4" customFormat="1">
      <c r="A43" s="21" t="s">
        <v>58</v>
      </c>
      <c r="B43" s="22" t="s">
        <v>59</v>
      </c>
      <c r="C43" s="28">
        <f>115300800/1000</f>
        <v>115300.8</v>
      </c>
      <c r="D43" s="28">
        <f>59057900/1000</f>
        <v>59057.9</v>
      </c>
      <c r="E43" s="28">
        <f t="shared" si="0"/>
        <v>51.220720064388104</v>
      </c>
      <c r="F43" s="28">
        <v>0</v>
      </c>
      <c r="G43" s="28">
        <f t="shared" si="1"/>
        <v>59057.9</v>
      </c>
      <c r="H43" s="28" t="s">
        <v>147</v>
      </c>
    </row>
    <row r="44" spans="1:8" s="4" customFormat="1">
      <c r="A44" s="21" t="s">
        <v>60</v>
      </c>
      <c r="B44" s="22" t="s">
        <v>61</v>
      </c>
      <c r="C44" s="28">
        <f>1518649980/1000</f>
        <v>1518649.98</v>
      </c>
      <c r="D44" s="28">
        <f>1087899935.07/1000</f>
        <v>1087899.9350699999</v>
      </c>
      <c r="E44" s="28">
        <f t="shared" si="0"/>
        <v>71.635989161241739</v>
      </c>
      <c r="F44" s="28">
        <v>857060.74107999995</v>
      </c>
      <c r="G44" s="28">
        <f t="shared" si="1"/>
        <v>230839.19398999994</v>
      </c>
      <c r="H44" s="28">
        <f t="shared" si="2"/>
        <v>126.93381961459519</v>
      </c>
    </row>
    <row r="45" spans="1:8" s="4" customFormat="1">
      <c r="A45" s="21" t="s">
        <v>62</v>
      </c>
      <c r="B45" s="22" t="s">
        <v>63</v>
      </c>
      <c r="C45" s="28">
        <f>73064300/1000</f>
        <v>73064.3</v>
      </c>
      <c r="D45" s="28">
        <f>53384393/1000</f>
        <v>53384.392999999996</v>
      </c>
      <c r="E45" s="28">
        <f t="shared" si="0"/>
        <v>73.064948271590907</v>
      </c>
      <c r="F45" s="28">
        <v>46747.524230000003</v>
      </c>
      <c r="G45" s="28">
        <f t="shared" si="1"/>
        <v>6636.8687699999937</v>
      </c>
      <c r="H45" s="28">
        <f t="shared" si="2"/>
        <v>114.19726259158942</v>
      </c>
    </row>
    <row r="46" spans="1:8" s="4" customFormat="1">
      <c r="A46" s="21" t="s">
        <v>64</v>
      </c>
      <c r="B46" s="22" t="s">
        <v>65</v>
      </c>
      <c r="C46" s="28">
        <f>56687500/1000</f>
        <v>56687.5</v>
      </c>
      <c r="D46" s="28">
        <f>37590778.12/1000</f>
        <v>37590.778119999995</v>
      </c>
      <c r="E46" s="28">
        <f t="shared" si="0"/>
        <v>66.312287753031967</v>
      </c>
      <c r="F46" s="28">
        <v>31842.221590000001</v>
      </c>
      <c r="G46" s="28">
        <f t="shared" si="1"/>
        <v>5748.5565299999944</v>
      </c>
      <c r="H46" s="28">
        <f t="shared" si="2"/>
        <v>118.05325207524251</v>
      </c>
    </row>
    <row r="47" spans="1:8" s="4" customFormat="1">
      <c r="A47" s="21" t="s">
        <v>66</v>
      </c>
      <c r="B47" s="22" t="s">
        <v>67</v>
      </c>
      <c r="C47" s="28">
        <f>68546724.39/1000</f>
        <v>68546.724390000003</v>
      </c>
      <c r="D47" s="28">
        <f>59334612.14/1000</f>
        <v>59334.612139999997</v>
      </c>
      <c r="E47" s="28">
        <f t="shared" si="0"/>
        <v>86.560827914128708</v>
      </c>
      <c r="F47" s="28">
        <v>61272.478369999997</v>
      </c>
      <c r="G47" s="28">
        <f t="shared" si="1"/>
        <v>-1937.8662299999996</v>
      </c>
      <c r="H47" s="28">
        <f t="shared" si="2"/>
        <v>96.837297459557618</v>
      </c>
    </row>
    <row r="48" spans="1:8" s="4" customFormat="1">
      <c r="A48" s="21" t="s">
        <v>68</v>
      </c>
      <c r="B48" s="22" t="s">
        <v>69</v>
      </c>
      <c r="C48" s="28">
        <f>34857800/1000</f>
        <v>34857.800000000003</v>
      </c>
      <c r="D48" s="28">
        <f>20968980/1000</f>
        <v>20968.98</v>
      </c>
      <c r="E48" s="28">
        <f t="shared" si="0"/>
        <v>60.155775751768601</v>
      </c>
      <c r="F48" s="28">
        <v>18614.64</v>
      </c>
      <c r="G48" s="28">
        <f t="shared" si="1"/>
        <v>2354.34</v>
      </c>
      <c r="H48" s="28">
        <f t="shared" si="2"/>
        <v>112.64778690321167</v>
      </c>
    </row>
    <row r="49" spans="1:8" s="4" customFormat="1">
      <c r="A49" s="21" t="s">
        <v>70</v>
      </c>
      <c r="B49" s="22" t="s">
        <v>71</v>
      </c>
      <c r="C49" s="28">
        <f>286632571.5/1000</f>
        <v>286632.57150000002</v>
      </c>
      <c r="D49" s="28">
        <f>124060308.24/1000</f>
        <v>124060.30824</v>
      </c>
      <c r="E49" s="28">
        <f t="shared" si="0"/>
        <v>43.28199952670068</v>
      </c>
      <c r="F49" s="28">
        <v>188084.95392999999</v>
      </c>
      <c r="G49" s="28">
        <f t="shared" si="1"/>
        <v>-64024.64568999999</v>
      </c>
      <c r="H49" s="28">
        <f t="shared" si="2"/>
        <v>65.959719609561006</v>
      </c>
    </row>
    <row r="50" spans="1:8" s="4" customFormat="1">
      <c r="A50" s="23" t="s">
        <v>133</v>
      </c>
      <c r="B50" s="24" t="s">
        <v>134</v>
      </c>
      <c r="C50" s="29">
        <f>1192008887.5/1000</f>
        <v>1192008.8875</v>
      </c>
      <c r="D50" s="29">
        <f>451808546.82/1000</f>
        <v>451808.54681999999</v>
      </c>
      <c r="E50" s="29">
        <f t="shared" si="0"/>
        <v>37.903118974857477</v>
      </c>
      <c r="F50" s="29">
        <v>376297.42</v>
      </c>
      <c r="G50" s="29">
        <f t="shared" si="1"/>
        <v>75511.126820000005</v>
      </c>
      <c r="H50" s="29">
        <f t="shared" si="2"/>
        <v>120.06687338435644</v>
      </c>
    </row>
    <row r="51" spans="1:8" s="4" customFormat="1">
      <c r="A51" s="21" t="s">
        <v>72</v>
      </c>
      <c r="B51" s="22" t="s">
        <v>73</v>
      </c>
      <c r="C51" s="28">
        <f>1133651687.5/1000</f>
        <v>1133651.6875</v>
      </c>
      <c r="D51" s="28">
        <f>410677125.13/1000</f>
        <v>410677.12513</v>
      </c>
      <c r="E51" s="28">
        <f t="shared" si="0"/>
        <v>36.226041001681125</v>
      </c>
      <c r="F51" s="28">
        <v>336897.24352999998</v>
      </c>
      <c r="G51" s="28">
        <f t="shared" si="1"/>
        <v>73779.881600000022</v>
      </c>
      <c r="H51" s="28">
        <f t="shared" si="2"/>
        <v>121.89981753098853</v>
      </c>
    </row>
    <row r="52" spans="1:8" s="4" customFormat="1">
      <c r="A52" s="21" t="s">
        <v>74</v>
      </c>
      <c r="B52" s="22" t="s">
        <v>75</v>
      </c>
      <c r="C52" s="28">
        <f>58357200/1000</f>
        <v>58357.2</v>
      </c>
      <c r="D52" s="28">
        <f>41131421.69/1000</f>
        <v>41131.421689999996</v>
      </c>
      <c r="E52" s="28">
        <f t="shared" si="0"/>
        <v>70.482171334471147</v>
      </c>
      <c r="F52" s="28">
        <v>39400.17409</v>
      </c>
      <c r="G52" s="28">
        <f t="shared" si="1"/>
        <v>1731.2475999999951</v>
      </c>
      <c r="H52" s="28">
        <f t="shared" si="2"/>
        <v>104.39401002656838</v>
      </c>
    </row>
    <row r="53" spans="1:8" s="4" customFormat="1">
      <c r="A53" s="23" t="s">
        <v>135</v>
      </c>
      <c r="B53" s="24" t="s">
        <v>136</v>
      </c>
      <c r="C53" s="29">
        <f>2407147864.86/1000</f>
        <v>2407147.8648600001</v>
      </c>
      <c r="D53" s="29">
        <f>1254316364.97/1000</f>
        <v>1254316.36497</v>
      </c>
      <c r="E53" s="29">
        <f t="shared" si="0"/>
        <v>52.10798984477637</v>
      </c>
      <c r="F53" s="29">
        <v>5304666.4000000004</v>
      </c>
      <c r="G53" s="29">
        <f t="shared" si="1"/>
        <v>-4050350.0350300004</v>
      </c>
      <c r="H53" s="29">
        <f t="shared" si="2"/>
        <v>23.645527737050532</v>
      </c>
    </row>
    <row r="54" spans="1:8" s="4" customFormat="1">
      <c r="A54" s="21" t="s">
        <v>76</v>
      </c>
      <c r="B54" s="22" t="s">
        <v>77</v>
      </c>
      <c r="C54" s="28">
        <f>1437172000/1000</f>
        <v>1437172</v>
      </c>
      <c r="D54" s="28">
        <f>649708142.65/1000</f>
        <v>649708.14264999994</v>
      </c>
      <c r="E54" s="28">
        <f t="shared" si="0"/>
        <v>45.207403334465177</v>
      </c>
      <c r="F54" s="28">
        <v>1137993.40619</v>
      </c>
      <c r="G54" s="28">
        <f t="shared" si="1"/>
        <v>-488285.26354000007</v>
      </c>
      <c r="H54" s="28">
        <f t="shared" si="2"/>
        <v>57.092434729057153</v>
      </c>
    </row>
    <row r="55" spans="1:8" s="4" customFormat="1">
      <c r="A55" s="21" t="s">
        <v>78</v>
      </c>
      <c r="B55" s="22" t="s">
        <v>79</v>
      </c>
      <c r="C55" s="28">
        <f>369973057/1000</f>
        <v>369973.05699999997</v>
      </c>
      <c r="D55" s="28">
        <f>228393697.12/1000</f>
        <v>228393.69712</v>
      </c>
      <c r="E55" s="28">
        <f t="shared" si="0"/>
        <v>61.732521544129639</v>
      </c>
      <c r="F55" s="28">
        <v>218004.75614000001</v>
      </c>
      <c r="G55" s="28">
        <f t="shared" si="1"/>
        <v>10388.940979999985</v>
      </c>
      <c r="H55" s="28">
        <f t="shared" si="2"/>
        <v>104.7654652879813</v>
      </c>
    </row>
    <row r="56" spans="1:8" s="4" customFormat="1">
      <c r="A56" s="21" t="s">
        <v>80</v>
      </c>
      <c r="B56" s="22" t="s">
        <v>81</v>
      </c>
      <c r="C56" s="28">
        <f>18768600/1000</f>
        <v>18768.599999999999</v>
      </c>
      <c r="D56" s="28">
        <f>13305825.44/1000</f>
        <v>13305.825439999999</v>
      </c>
      <c r="E56" s="28">
        <f t="shared" si="0"/>
        <v>70.894075423846218</v>
      </c>
      <c r="F56" s="28">
        <v>18846.517619999999</v>
      </c>
      <c r="G56" s="28">
        <f t="shared" si="1"/>
        <v>-5540.69218</v>
      </c>
      <c r="H56" s="28">
        <f t="shared" si="2"/>
        <v>70.60097630917133</v>
      </c>
    </row>
    <row r="57" spans="1:8" s="4" customFormat="1">
      <c r="A57" s="21" t="s">
        <v>82</v>
      </c>
      <c r="B57" s="22" t="s">
        <v>83</v>
      </c>
      <c r="C57" s="28">
        <f>28401700/1000</f>
        <v>28401.7</v>
      </c>
      <c r="D57" s="28">
        <f>11954200/1000</f>
        <v>11954.2</v>
      </c>
      <c r="E57" s="28">
        <f t="shared" si="0"/>
        <v>42.089734065214408</v>
      </c>
      <c r="F57" s="28">
        <v>10375.583329999999</v>
      </c>
      <c r="G57" s="28">
        <f t="shared" si="1"/>
        <v>1578.6166700000012</v>
      </c>
      <c r="H57" s="28">
        <f t="shared" si="2"/>
        <v>115.21472691984059</v>
      </c>
    </row>
    <row r="58" spans="1:8" s="4" customFormat="1">
      <c r="A58" s="21" t="s">
        <v>84</v>
      </c>
      <c r="B58" s="22" t="s">
        <v>85</v>
      </c>
      <c r="C58" s="28">
        <f>111660100/1000</f>
        <v>111660.1</v>
      </c>
      <c r="D58" s="28">
        <f>65687804.64/1000</f>
        <v>65687.804640000002</v>
      </c>
      <c r="E58" s="28">
        <f t="shared" si="0"/>
        <v>58.828359136343245</v>
      </c>
      <c r="F58" s="28">
        <v>61047.970050000004</v>
      </c>
      <c r="G58" s="28">
        <f t="shared" si="1"/>
        <v>4639.8345899999986</v>
      </c>
      <c r="H58" s="28">
        <f t="shared" si="2"/>
        <v>107.60030937343181</v>
      </c>
    </row>
    <row r="59" spans="1:8" s="4" customFormat="1" ht="30">
      <c r="A59" s="21" t="s">
        <v>86</v>
      </c>
      <c r="B59" s="22" t="s">
        <v>87</v>
      </c>
      <c r="C59" s="28">
        <f>54429000/1000</f>
        <v>54429</v>
      </c>
      <c r="D59" s="28">
        <f>36987500/1000</f>
        <v>36987.5</v>
      </c>
      <c r="E59" s="28">
        <f t="shared" si="0"/>
        <v>67.955501662716571</v>
      </c>
      <c r="F59" s="28">
        <v>32055.324329999999</v>
      </c>
      <c r="G59" s="28">
        <f t="shared" si="1"/>
        <v>4932.1756700000005</v>
      </c>
      <c r="H59" s="28">
        <f t="shared" si="2"/>
        <v>115.3864475655424</v>
      </c>
    </row>
    <row r="60" spans="1:8" s="4" customFormat="1">
      <c r="A60" s="21" t="s">
        <v>88</v>
      </c>
      <c r="B60" s="22" t="s">
        <v>89</v>
      </c>
      <c r="C60" s="28">
        <f>386743407.86/1000</f>
        <v>386743.40786000004</v>
      </c>
      <c r="D60" s="28">
        <f>248279195.12/1000</f>
        <v>248279.19512000002</v>
      </c>
      <c r="E60" s="28">
        <f t="shared" si="0"/>
        <v>64.197395501535311</v>
      </c>
      <c r="F60" s="28">
        <v>3826342.8420099998</v>
      </c>
      <c r="G60" s="28">
        <f t="shared" si="1"/>
        <v>-3578063.64689</v>
      </c>
      <c r="H60" s="28">
        <f t="shared" si="2"/>
        <v>6.4886813694294458</v>
      </c>
    </row>
    <row r="61" spans="1:8" s="4" customFormat="1">
      <c r="A61" s="23" t="s">
        <v>137</v>
      </c>
      <c r="B61" s="24" t="s">
        <v>138</v>
      </c>
      <c r="C61" s="29">
        <f>11985674103.74/1000</f>
        <v>11985674.103739999</v>
      </c>
      <c r="D61" s="29">
        <f>8960397889.01/1000</f>
        <v>8960397.889010001</v>
      </c>
      <c r="E61" s="29">
        <f t="shared" si="0"/>
        <v>74.75923182505025</v>
      </c>
      <c r="F61" s="29">
        <v>5450609.1200000001</v>
      </c>
      <c r="G61" s="29">
        <f t="shared" si="1"/>
        <v>3509788.7690100009</v>
      </c>
      <c r="H61" s="29">
        <f t="shared" si="2"/>
        <v>164.39259707931507</v>
      </c>
    </row>
    <row r="62" spans="1:8" s="4" customFormat="1">
      <c r="A62" s="21" t="s">
        <v>90</v>
      </c>
      <c r="B62" s="22" t="s">
        <v>91</v>
      </c>
      <c r="C62" s="28">
        <f>48596630.14/1000</f>
        <v>48596.630140000001</v>
      </c>
      <c r="D62" s="28">
        <f>28372609.44/1000</f>
        <v>28372.60944</v>
      </c>
      <c r="E62" s="28">
        <f t="shared" si="0"/>
        <v>58.383903077770071</v>
      </c>
      <c r="F62" s="28">
        <v>17439.52535</v>
      </c>
      <c r="G62" s="28">
        <f t="shared" si="1"/>
        <v>10933.08409</v>
      </c>
      <c r="H62" s="28">
        <f t="shared" si="2"/>
        <v>162.69140857093339</v>
      </c>
    </row>
    <row r="63" spans="1:8" s="4" customFormat="1">
      <c r="A63" s="21" t="s">
        <v>92</v>
      </c>
      <c r="B63" s="22" t="s">
        <v>93</v>
      </c>
      <c r="C63" s="28">
        <f>830934414.36/1000</f>
        <v>830934.41436000005</v>
      </c>
      <c r="D63" s="28">
        <f>557500849.01/1000</f>
        <v>557500.84901000001</v>
      </c>
      <c r="E63" s="28">
        <f t="shared" si="0"/>
        <v>67.093243386651253</v>
      </c>
      <c r="F63" s="28">
        <v>537560.48056000005</v>
      </c>
      <c r="G63" s="28">
        <f t="shared" si="1"/>
        <v>19940.368449999951</v>
      </c>
      <c r="H63" s="28">
        <f t="shared" si="2"/>
        <v>103.70941859960152</v>
      </c>
    </row>
    <row r="64" spans="1:8" s="4" customFormat="1">
      <c r="A64" s="21" t="s">
        <v>94</v>
      </c>
      <c r="B64" s="22" t="s">
        <v>95</v>
      </c>
      <c r="C64" s="28">
        <f>10001522199.24/1000</f>
        <v>10001522.199239999</v>
      </c>
      <c r="D64" s="28">
        <f>7593209856.28/1000</f>
        <v>7593209.8562799999</v>
      </c>
      <c r="E64" s="28">
        <f t="shared" si="0"/>
        <v>75.920541943675303</v>
      </c>
      <c r="F64" s="28">
        <v>4053353.6044899998</v>
      </c>
      <c r="G64" s="28">
        <f t="shared" si="1"/>
        <v>3539856.2517900001</v>
      </c>
      <c r="H64" s="28">
        <f t="shared" si="2"/>
        <v>187.33154314167936</v>
      </c>
    </row>
    <row r="65" spans="1:8" s="4" customFormat="1">
      <c r="A65" s="21" t="s">
        <v>96</v>
      </c>
      <c r="B65" s="22" t="s">
        <v>97</v>
      </c>
      <c r="C65" s="28">
        <f>1058993440/1000</f>
        <v>1058993.44</v>
      </c>
      <c r="D65" s="28">
        <f>749984153.53/1000</f>
        <v>749984.15353000001</v>
      </c>
      <c r="E65" s="28">
        <f t="shared" si="0"/>
        <v>70.820472082433312</v>
      </c>
      <c r="F65" s="28">
        <v>811676.70038000005</v>
      </c>
      <c r="G65" s="28">
        <f t="shared" si="1"/>
        <v>-61692.546850000042</v>
      </c>
      <c r="H65" s="28">
        <f t="shared" si="2"/>
        <v>92.399369500058626</v>
      </c>
    </row>
    <row r="66" spans="1:8" s="4" customFormat="1">
      <c r="A66" s="21" t="s">
        <v>98</v>
      </c>
      <c r="B66" s="22" t="s">
        <v>99</v>
      </c>
      <c r="C66" s="28">
        <f>45627420/1000</f>
        <v>45627.42</v>
      </c>
      <c r="D66" s="28">
        <f>31330420.75/1000</f>
        <v>31330.420750000001</v>
      </c>
      <c r="E66" s="28">
        <f t="shared" si="0"/>
        <v>68.665773234603236</v>
      </c>
      <c r="F66" s="28">
        <v>30578.80617</v>
      </c>
      <c r="G66" s="28">
        <f t="shared" si="1"/>
        <v>751.6145800000013</v>
      </c>
      <c r="H66" s="28">
        <f t="shared" si="2"/>
        <v>102.45795920161653</v>
      </c>
    </row>
    <row r="67" spans="1:8" s="4" customFormat="1">
      <c r="A67" s="23" t="s">
        <v>139</v>
      </c>
      <c r="B67" s="24" t="s">
        <v>140</v>
      </c>
      <c r="C67" s="29">
        <f>1021972108.38/1000</f>
        <v>1021972.10838</v>
      </c>
      <c r="D67" s="29">
        <f>389878171.21/1000</f>
        <v>389878.17121</v>
      </c>
      <c r="E67" s="29">
        <f t="shared" si="0"/>
        <v>38.149590190677841</v>
      </c>
      <c r="F67" s="29">
        <v>485827.29</v>
      </c>
      <c r="G67" s="29">
        <f t="shared" si="1"/>
        <v>-95949.118789999979</v>
      </c>
      <c r="H67" s="29">
        <f t="shared" si="2"/>
        <v>80.250364529748836</v>
      </c>
    </row>
    <row r="68" spans="1:8" s="4" customFormat="1">
      <c r="A68" s="21" t="s">
        <v>100</v>
      </c>
      <c r="B68" s="22" t="s">
        <v>101</v>
      </c>
      <c r="C68" s="28">
        <f>632862458.2/1000</f>
        <v>632862.45819999999</v>
      </c>
      <c r="D68" s="28">
        <f>156416077.66/1000</f>
        <v>156416.07766000001</v>
      </c>
      <c r="E68" s="28">
        <f t="shared" si="0"/>
        <v>24.71565118665464</v>
      </c>
      <c r="F68" s="30">
        <v>308352.93744000001</v>
      </c>
      <c r="G68" s="28">
        <f t="shared" si="1"/>
        <v>-151936.85978</v>
      </c>
      <c r="H68" s="28">
        <f t="shared" si="2"/>
        <v>50.726313476561515</v>
      </c>
    </row>
    <row r="69" spans="1:8" s="4" customFormat="1">
      <c r="A69" s="21" t="s">
        <v>102</v>
      </c>
      <c r="B69" s="22" t="s">
        <v>103</v>
      </c>
      <c r="C69" s="28">
        <f>363956850.18/1000</f>
        <v>363956.85018000001</v>
      </c>
      <c r="D69" s="28">
        <f>216226221.55/1000</f>
        <v>216226.22155000002</v>
      </c>
      <c r="E69" s="28">
        <f t="shared" si="0"/>
        <v>59.409850767491335</v>
      </c>
      <c r="F69" s="30">
        <v>168824.44803999999</v>
      </c>
      <c r="G69" s="28">
        <f t="shared" si="1"/>
        <v>47401.773510000028</v>
      </c>
      <c r="H69" s="28">
        <f t="shared" si="2"/>
        <v>128.07755278356899</v>
      </c>
    </row>
    <row r="70" spans="1:8" s="4" customFormat="1">
      <c r="A70" s="21" t="s">
        <v>104</v>
      </c>
      <c r="B70" s="22" t="s">
        <v>105</v>
      </c>
      <c r="C70" s="28">
        <f>25152800/1000</f>
        <v>25152.799999999999</v>
      </c>
      <c r="D70" s="28">
        <f>17235872/1000</f>
        <v>17235.871999999999</v>
      </c>
      <c r="E70" s="28">
        <f t="shared" si="0"/>
        <v>68.524665246016355</v>
      </c>
      <c r="F70" s="30">
        <v>8649.9031599999998</v>
      </c>
      <c r="G70" s="28">
        <f t="shared" si="1"/>
        <v>8585.9688399999995</v>
      </c>
      <c r="H70" s="28">
        <f t="shared" si="2"/>
        <v>199.26086663841912</v>
      </c>
    </row>
    <row r="71" spans="1:8" s="4" customFormat="1">
      <c r="A71" s="23" t="s">
        <v>141</v>
      </c>
      <c r="B71" s="24" t="s">
        <v>142</v>
      </c>
      <c r="C71" s="29">
        <f>111569901.6/1000</f>
        <v>111569.9016</v>
      </c>
      <c r="D71" s="29">
        <f>74576669.59/1000</f>
        <v>74576.669590000005</v>
      </c>
      <c r="E71" s="29">
        <f t="shared" si="0"/>
        <v>66.843000236185574</v>
      </c>
      <c r="F71" s="29">
        <v>70628.47</v>
      </c>
      <c r="G71" s="29">
        <f t="shared" si="1"/>
        <v>3948.1995900000038</v>
      </c>
      <c r="H71" s="29">
        <f t="shared" si="2"/>
        <v>105.590096444111</v>
      </c>
    </row>
    <row r="72" spans="1:8" s="4" customFormat="1">
      <c r="A72" s="21" t="s">
        <v>106</v>
      </c>
      <c r="B72" s="22" t="s">
        <v>107</v>
      </c>
      <c r="C72" s="28">
        <f>37182901.6/1000</f>
        <v>37182.901600000005</v>
      </c>
      <c r="D72" s="28">
        <f>24299383.42/1000</f>
        <v>24299.383420000002</v>
      </c>
      <c r="E72" s="28">
        <f t="shared" si="0"/>
        <v>65.350960722226148</v>
      </c>
      <c r="F72" s="30">
        <v>22180.666130000001</v>
      </c>
      <c r="G72" s="28">
        <f t="shared" si="1"/>
        <v>2118.7172900000005</v>
      </c>
      <c r="H72" s="28">
        <f t="shared" si="2"/>
        <v>109.55209044481479</v>
      </c>
    </row>
    <row r="73" spans="1:8" s="4" customFormat="1">
      <c r="A73" s="21" t="s">
        <v>108</v>
      </c>
      <c r="B73" s="22" t="s">
        <v>109</v>
      </c>
      <c r="C73" s="28">
        <f>72387000/1000</f>
        <v>72387</v>
      </c>
      <c r="D73" s="28">
        <f>50277286.17/1000</f>
        <v>50277.286169999999</v>
      </c>
      <c r="E73" s="28">
        <f t="shared" ref="E73:E80" si="3">D73/C73*100</f>
        <v>69.45623685192092</v>
      </c>
      <c r="F73" s="30">
        <v>48447.80659</v>
      </c>
      <c r="G73" s="28">
        <f t="shared" ref="G73:G80" si="4">D73-F73</f>
        <v>1829.4795799999993</v>
      </c>
      <c r="H73" s="28">
        <f t="shared" ref="H73:H80" si="5">D73/F73*100</f>
        <v>103.77618659908046</v>
      </c>
    </row>
    <row r="74" spans="1:8" s="4" customFormat="1" ht="28.5">
      <c r="A74" s="23" t="s">
        <v>143</v>
      </c>
      <c r="B74" s="24" t="s">
        <v>144</v>
      </c>
      <c r="C74" s="29">
        <f>464000000/1000</f>
        <v>464000</v>
      </c>
      <c r="D74" s="29">
        <f>87801004.72/1000</f>
        <v>87801.004719999997</v>
      </c>
      <c r="E74" s="29">
        <f t="shared" si="3"/>
        <v>18.922630327586205</v>
      </c>
      <c r="F74" s="31">
        <v>140277.47188999999</v>
      </c>
      <c r="G74" s="29">
        <f t="shared" si="4"/>
        <v>-52476.467169999989</v>
      </c>
      <c r="H74" s="29">
        <f t="shared" si="5"/>
        <v>62.590951730902347</v>
      </c>
    </row>
    <row r="75" spans="1:8" s="4" customFormat="1">
      <c r="A75" s="21" t="s">
        <v>110</v>
      </c>
      <c r="B75" s="22" t="s">
        <v>111</v>
      </c>
      <c r="C75" s="28">
        <f>464000000/1000</f>
        <v>464000</v>
      </c>
      <c r="D75" s="28">
        <f>87801004.72/1000</f>
        <v>87801.004719999997</v>
      </c>
      <c r="E75" s="28">
        <f t="shared" si="3"/>
        <v>18.922630327586205</v>
      </c>
      <c r="F75" s="30">
        <v>140277.47188999999</v>
      </c>
      <c r="G75" s="28">
        <f t="shared" si="4"/>
        <v>-52476.467169999989</v>
      </c>
      <c r="H75" s="28">
        <f t="shared" si="5"/>
        <v>62.590951730902347</v>
      </c>
    </row>
    <row r="76" spans="1:8" s="4" customFormat="1" ht="42.75">
      <c r="A76" s="23" t="s">
        <v>145</v>
      </c>
      <c r="B76" s="24" t="s">
        <v>146</v>
      </c>
      <c r="C76" s="29">
        <f>1146753600/1000</f>
        <v>1146753.6000000001</v>
      </c>
      <c r="D76" s="29">
        <f>859740461.8/1000</f>
        <v>859740.46179999993</v>
      </c>
      <c r="E76" s="29">
        <f t="shared" si="3"/>
        <v>74.97168195504247</v>
      </c>
      <c r="F76" s="29">
        <v>744906.1</v>
      </c>
      <c r="G76" s="29">
        <f t="shared" si="4"/>
        <v>114834.36179999996</v>
      </c>
      <c r="H76" s="29">
        <f t="shared" si="5"/>
        <v>115.41595132594564</v>
      </c>
    </row>
    <row r="77" spans="1:8" s="4" customFormat="1" ht="30">
      <c r="A77" s="21" t="s">
        <v>112</v>
      </c>
      <c r="B77" s="22" t="s">
        <v>113</v>
      </c>
      <c r="C77" s="28">
        <f>159129400/1000</f>
        <v>159129.4</v>
      </c>
      <c r="D77" s="28">
        <f>133465000/1000</f>
        <v>133465</v>
      </c>
      <c r="E77" s="28">
        <f t="shared" si="3"/>
        <v>83.871993484547801</v>
      </c>
      <c r="F77" s="30">
        <v>115362</v>
      </c>
      <c r="G77" s="28">
        <f t="shared" si="4"/>
        <v>18103</v>
      </c>
      <c r="H77" s="28">
        <f t="shared" si="5"/>
        <v>115.69234236577034</v>
      </c>
    </row>
    <row r="78" spans="1:8" s="4" customFormat="1">
      <c r="A78" s="21" t="s">
        <v>114</v>
      </c>
      <c r="B78" s="22" t="s">
        <v>115</v>
      </c>
      <c r="C78" s="28">
        <f>441634000/1000</f>
        <v>441634</v>
      </c>
      <c r="D78" s="28">
        <f>372464600/1000</f>
        <v>372464.6</v>
      </c>
      <c r="E78" s="28">
        <f t="shared" si="3"/>
        <v>84.337845365166629</v>
      </c>
      <c r="F78" s="30">
        <v>312412</v>
      </c>
      <c r="G78" s="28">
        <f t="shared" si="4"/>
        <v>60052.599999999977</v>
      </c>
      <c r="H78" s="28">
        <f t="shared" si="5"/>
        <v>119.22224498418754</v>
      </c>
    </row>
    <row r="79" spans="1:8" s="4" customFormat="1">
      <c r="A79" s="21" t="s">
        <v>116</v>
      </c>
      <c r="B79" s="22" t="s">
        <v>117</v>
      </c>
      <c r="C79" s="28">
        <f>545990200/1000</f>
        <v>545990.19999999995</v>
      </c>
      <c r="D79" s="28">
        <f>353810861.8/1000</f>
        <v>353810.86180000001</v>
      </c>
      <c r="E79" s="28">
        <f t="shared" si="3"/>
        <v>64.80168724640113</v>
      </c>
      <c r="F79" s="30">
        <v>317132.09999999998</v>
      </c>
      <c r="G79" s="28">
        <f t="shared" si="4"/>
        <v>36678.761800000037</v>
      </c>
      <c r="H79" s="28">
        <f t="shared" si="5"/>
        <v>111.56576764067721</v>
      </c>
    </row>
    <row r="80" spans="1:8" s="4" customFormat="1" ht="12.75" customHeight="1">
      <c r="A80" s="34" t="s">
        <v>118</v>
      </c>
      <c r="B80" s="35"/>
      <c r="C80" s="32">
        <f>44431655698.4/1000</f>
        <v>44431655.698399998</v>
      </c>
      <c r="D80" s="32">
        <v>28640153.820719998</v>
      </c>
      <c r="E80" s="32">
        <f t="shared" si="3"/>
        <v>64.458893936179251</v>
      </c>
      <c r="F80" s="33">
        <v>25954701.16189</v>
      </c>
      <c r="G80" s="32">
        <f t="shared" si="4"/>
        <v>2685452.6588299982</v>
      </c>
      <c r="H80" s="32">
        <f t="shared" si="5"/>
        <v>110.34669072889625</v>
      </c>
    </row>
    <row r="81" spans="1:7" ht="12.75" customHeight="1">
      <c r="A81" s="2"/>
      <c r="B81" s="2"/>
      <c r="C81" s="2"/>
      <c r="D81" s="25"/>
      <c r="E81" s="6"/>
      <c r="F81" s="25"/>
      <c r="G81" s="2"/>
    </row>
    <row r="82" spans="1:7">
      <c r="D82" s="17"/>
    </row>
    <row r="83" spans="1:7">
      <c r="C83" s="17"/>
      <c r="F83" s="17"/>
    </row>
  </sheetData>
  <mergeCells count="11">
    <mergeCell ref="A80:B80"/>
    <mergeCell ref="D5:D6"/>
    <mergeCell ref="C5:C6"/>
    <mergeCell ref="A1:H2"/>
    <mergeCell ref="A5:A6"/>
    <mergeCell ref="B5:B6"/>
    <mergeCell ref="A3:D3"/>
    <mergeCell ref="A4:H4"/>
    <mergeCell ref="E5:E6"/>
    <mergeCell ref="F5:F6"/>
    <mergeCell ref="G5:H5"/>
  </mergeCells>
  <pageMargins left="0.59027779999999996" right="0.59027779999999996" top="0.59027779999999996" bottom="0.59027779999999996" header="0.39374999999999999" footer="0.39374999999999999"/>
  <pageSetup paperSize="9" scale="51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550AC93-FE64-4A2C-BBA8-C307481967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мес 2017</vt:lpstr>
      <vt:lpstr>'9 мес 2017'!Заголовки_для_печати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Крикина Ольга Лазеревна</dc:creator>
  <cp:lastModifiedBy>Смирнов Игорь Николаевич</cp:lastModifiedBy>
  <cp:lastPrinted>2017-11-29T06:50:56Z</cp:lastPrinted>
  <dcterms:created xsi:type="dcterms:W3CDTF">2017-08-15T14:29:29Z</dcterms:created>
  <dcterms:modified xsi:type="dcterms:W3CDTF">2017-11-29T07:44:45Z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c:\tmp_ks\appdata_BudgetSmart2017mf\ReportManager\Аналитический отчет по исполнению бюджета с произвольной группировкой_3.xlsx</vt:lpwstr>
  </property>
  <property fmtid="{D5CDD505-2E9C-101B-9397-08002B2CF9AE}" pid="3" name="Report Name">
    <vt:lpwstr>c__tmp_ks_appdata_BudgetSmart2017mf_ReportManager_Аналитический отчет по исполнению бюджета с произвольной группировкой_3.xlsx</vt:lpwstr>
  </property>
</Properties>
</file>