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9440" windowHeight="9465" tabRatio="813"/>
  </bookViews>
  <sheets>
    <sheet name="Администрация Главы" sheetId="4" r:id="rId1"/>
    <sheet name="Госветслужба" sheetId="10" r:id="rId2"/>
    <sheet name="Госсовет" sheetId="9" r:id="rId3"/>
    <sheet name="ГКЧС" sheetId="15" r:id="rId4"/>
    <sheet name="Минздрав" sheetId="5" r:id="rId5"/>
    <sheet name="Мининформполитики" sheetId="8" r:id="rId6"/>
    <sheet name="Минкультуры" sheetId="1" r:id="rId7"/>
    <sheet name="Минобразования" sheetId="7" r:id="rId8"/>
    <sheet name="Минприроды" sheetId="11" r:id="rId9"/>
    <sheet name="Минспорт" sheetId="3" r:id="rId10"/>
    <sheet name="Минстрой" sheetId="12" r:id="rId11"/>
    <sheet name="Минтруд" sheetId="6" r:id="rId12"/>
    <sheet name="Минэк" sheetId="13" r:id="rId13"/>
    <sheet name="Минюст" sheetId="14" r:id="rId14"/>
  </sheets>
  <definedNames>
    <definedName name="_xlnm.Print_Area" localSheetId="3">ГКЧС!$A$1:$J$16</definedName>
    <definedName name="_xlnm.Print_Area" localSheetId="1">Госветслужба!$A$1:$J$16</definedName>
    <definedName name="_xlnm.Print_Area" localSheetId="5">Мининформполитики!$A$1:$J$29</definedName>
    <definedName name="_xlnm.Print_Area" localSheetId="8">Минприроды!$A$1:$J$38</definedName>
    <definedName name="_xlnm.Print_Area" localSheetId="12">Минэк!$A$1:$J$13</definedName>
    <definedName name="_xlnm.Print_Area" localSheetId="13">Минюст!$A$1:$J$13</definedName>
  </definedNames>
  <calcPr calcId="145621"/>
</workbook>
</file>

<file path=xl/calcChain.xml><?xml version="1.0" encoding="utf-8"?>
<calcChain xmlns="http://schemas.openxmlformats.org/spreadsheetml/2006/main">
  <c r="J34" i="11" l="1"/>
  <c r="I34" i="11"/>
  <c r="H33" i="11"/>
  <c r="E33" i="11"/>
  <c r="J30" i="11"/>
  <c r="H30" i="11"/>
  <c r="J14" i="8"/>
  <c r="I14" i="8"/>
  <c r="H14" i="8"/>
  <c r="G14" i="8"/>
  <c r="F14" i="8"/>
  <c r="E14" i="8"/>
  <c r="G19" i="8" l="1"/>
  <c r="F19" i="8"/>
  <c r="E19" i="8"/>
  <c r="J274" i="7" l="1"/>
  <c r="I274" i="7"/>
  <c r="H274" i="7"/>
  <c r="G274" i="7"/>
  <c r="F274" i="7"/>
  <c r="E274" i="7"/>
  <c r="J253" i="7"/>
  <c r="I253" i="7"/>
  <c r="H253" i="7"/>
  <c r="G253" i="7"/>
  <c r="F253" i="7"/>
  <c r="E253" i="7"/>
  <c r="J251" i="7"/>
  <c r="I251" i="7"/>
  <c r="H251" i="7"/>
  <c r="G251" i="7"/>
  <c r="F251" i="7"/>
  <c r="E251" i="7"/>
  <c r="J228" i="7"/>
  <c r="I228" i="7"/>
  <c r="H228" i="7"/>
  <c r="G228" i="7"/>
  <c r="F228" i="7"/>
  <c r="E228" i="7"/>
  <c r="J215" i="7"/>
  <c r="I215" i="7"/>
  <c r="H215" i="7"/>
  <c r="J57" i="7"/>
  <c r="I57" i="7"/>
  <c r="H57" i="7"/>
  <c r="J56" i="7"/>
  <c r="I56" i="7"/>
  <c r="H56" i="7"/>
  <c r="J46" i="7"/>
  <c r="I46" i="7"/>
  <c r="H46" i="7"/>
  <c r="G46" i="7"/>
  <c r="F46" i="7"/>
  <c r="E46" i="7"/>
  <c r="J40" i="7"/>
  <c r="I40" i="7"/>
  <c r="H40" i="7"/>
  <c r="E40" i="7"/>
  <c r="J39" i="7"/>
  <c r="I39" i="7"/>
  <c r="H39" i="7"/>
  <c r="G39" i="7"/>
  <c r="F39" i="7"/>
  <c r="E39" i="7"/>
  <c r="J13" i="7"/>
  <c r="I13" i="7"/>
  <c r="H13" i="7"/>
  <c r="G13" i="7"/>
  <c r="F13" i="7"/>
  <c r="E13" i="7"/>
  <c r="J9" i="7"/>
  <c r="I9" i="7"/>
  <c r="H9" i="7"/>
  <c r="G9" i="7"/>
  <c r="F9" i="7"/>
  <c r="E9" i="7"/>
  <c r="J9" i="1" l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K8" i="1"/>
  <c r="J8" i="1"/>
  <c r="I143" i="1"/>
  <c r="G131" i="1"/>
  <c r="H131" i="1"/>
  <c r="I131" i="1"/>
  <c r="F131" i="1"/>
  <c r="I135" i="1"/>
  <c r="I83" i="1"/>
  <c r="H36" i="1"/>
  <c r="G36" i="1"/>
  <c r="K87" i="1"/>
  <c r="K88" i="1"/>
  <c r="K89" i="1"/>
  <c r="K90" i="1"/>
  <c r="K91" i="1"/>
  <c r="K92" i="1"/>
  <c r="K93" i="1"/>
  <c r="K94" i="1"/>
  <c r="K95" i="1"/>
  <c r="K96" i="1"/>
  <c r="K97" i="1"/>
  <c r="K86" i="1"/>
  <c r="J131" i="1" l="1"/>
  <c r="K131" i="1"/>
  <c r="J143" i="1"/>
  <c r="I150" i="1"/>
  <c r="J122" i="1"/>
  <c r="K122" i="1"/>
  <c r="K121" i="1"/>
  <c r="J121" i="1"/>
  <c r="K83" i="1"/>
  <c r="J83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K60" i="1"/>
  <c r="J60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K41" i="1"/>
  <c r="J41" i="1"/>
  <c r="J138" i="1" s="1"/>
  <c r="J40" i="1"/>
  <c r="K40" i="1"/>
  <c r="K39" i="1"/>
  <c r="J39" i="1"/>
  <c r="J134" i="1" s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K30" i="1"/>
  <c r="J30" i="1"/>
  <c r="J24" i="1"/>
  <c r="K24" i="1"/>
  <c r="J25" i="1"/>
  <c r="K25" i="1"/>
  <c r="J26" i="1"/>
  <c r="K26" i="1"/>
  <c r="J27" i="1"/>
  <c r="K27" i="1"/>
  <c r="J28" i="1"/>
  <c r="K28" i="1"/>
  <c r="J29" i="1"/>
  <c r="K29" i="1"/>
  <c r="K23" i="1"/>
  <c r="J23" i="1"/>
  <c r="J132" i="1"/>
  <c r="K132" i="1"/>
  <c r="J133" i="1"/>
  <c r="K133" i="1"/>
  <c r="J136" i="1"/>
  <c r="K136" i="1"/>
  <c r="H138" i="1"/>
  <c r="H139" i="1"/>
  <c r="G138" i="1"/>
  <c r="G139" i="1"/>
  <c r="H85" i="1"/>
  <c r="G85" i="1"/>
  <c r="H84" i="1"/>
  <c r="G84" i="1"/>
  <c r="H83" i="1"/>
  <c r="G83" i="1"/>
  <c r="G28" i="1"/>
  <c r="H28" i="1"/>
  <c r="H27" i="1"/>
  <c r="G27" i="1"/>
  <c r="H26" i="1"/>
  <c r="G26" i="1"/>
  <c r="H24" i="1"/>
  <c r="G24" i="1"/>
  <c r="H25" i="1"/>
  <c r="G25" i="1"/>
  <c r="H23" i="1"/>
  <c r="G23" i="1"/>
  <c r="H29" i="1"/>
  <c r="G29" i="1"/>
  <c r="H35" i="1"/>
  <c r="G35" i="1"/>
  <c r="H34" i="1"/>
  <c r="G34" i="1"/>
  <c r="H37" i="1"/>
  <c r="G37" i="1"/>
  <c r="H33" i="1"/>
  <c r="G33" i="1"/>
  <c r="H32" i="1"/>
  <c r="G32" i="1"/>
  <c r="H31" i="1"/>
  <c r="G31" i="1"/>
  <c r="H30" i="1"/>
  <c r="G30" i="1"/>
  <c r="I137" i="1"/>
  <c r="I148" i="1"/>
  <c r="G136" i="1"/>
  <c r="H136" i="1"/>
  <c r="I136" i="1"/>
  <c r="F136" i="1"/>
  <c r="I146" i="1"/>
  <c r="I134" i="1"/>
  <c r="F134" i="1"/>
  <c r="G134" i="1"/>
  <c r="H134" i="1"/>
  <c r="I85" i="1"/>
  <c r="K85" i="1" s="1"/>
  <c r="F85" i="1"/>
  <c r="I84" i="1"/>
  <c r="K84" i="1" s="1"/>
  <c r="F84" i="1"/>
  <c r="F83" i="1"/>
  <c r="I149" i="1"/>
  <c r="F137" i="1"/>
  <c r="I147" i="1"/>
  <c r="F135" i="1"/>
  <c r="G135" i="1" l="1"/>
  <c r="G137" i="1"/>
  <c r="K137" i="1"/>
  <c r="J137" i="1"/>
  <c r="K139" i="1"/>
  <c r="J139" i="1"/>
  <c r="J148" i="1"/>
  <c r="K134" i="1"/>
  <c r="J84" i="1"/>
  <c r="H135" i="1"/>
  <c r="H137" i="1"/>
  <c r="K135" i="1"/>
  <c r="K138" i="1"/>
  <c r="J85" i="1"/>
  <c r="J135" i="1"/>
  <c r="J147" i="1"/>
  <c r="J149" i="1"/>
  <c r="J146" i="1"/>
  <c r="I151" i="1"/>
  <c r="I139" i="1"/>
  <c r="F139" i="1"/>
  <c r="F138" i="1"/>
  <c r="I138" i="1"/>
  <c r="J150" i="1" s="1"/>
  <c r="G133" i="1"/>
  <c r="H133" i="1"/>
  <c r="I133" i="1"/>
  <c r="F133" i="1"/>
  <c r="I145" i="1"/>
  <c r="J145" i="1" l="1"/>
  <c r="J151" i="1"/>
  <c r="I152" i="1"/>
  <c r="G140" i="1"/>
  <c r="H140" i="1"/>
  <c r="F140" i="1"/>
  <c r="I144" i="1"/>
  <c r="G132" i="1"/>
  <c r="H132" i="1"/>
  <c r="I132" i="1"/>
  <c r="F132" i="1"/>
  <c r="J144" i="1" l="1"/>
  <c r="I123" i="1"/>
  <c r="I140" i="1" l="1"/>
  <c r="I141" i="1" s="1"/>
  <c r="K123" i="1"/>
  <c r="K140" i="1" s="1"/>
  <c r="K141" i="1" s="1"/>
  <c r="J123" i="1"/>
  <c r="J140" i="1" s="1"/>
  <c r="J141" i="1" s="1"/>
</calcChain>
</file>

<file path=xl/comments1.xml><?xml version="1.0" encoding="utf-8"?>
<comments xmlns="http://schemas.openxmlformats.org/spreadsheetml/2006/main">
  <authors>
    <author>Госветслужба Чувашии Наталья Кедярова</author>
  </authors>
  <commentLis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Госветслужба Чувашии Наталья Кедярова:</t>
        </r>
        <r>
          <rPr>
            <sz val="9"/>
            <color indexed="81"/>
            <rFont val="Tahoma"/>
            <family val="2"/>
            <charset val="204"/>
          </rPr>
          <t xml:space="preserve">
две подуслуги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Госветслужба Чувашии Наталья Кедярова:</t>
        </r>
        <r>
          <rPr>
            <sz val="9"/>
            <color indexed="81"/>
            <rFont val="Tahoma"/>
            <family val="2"/>
            <charset val="204"/>
          </rPr>
          <t xml:space="preserve">
две подуслуги</t>
        </r>
      </text>
    </comment>
  </commentList>
</comments>
</file>

<file path=xl/comments2.xml><?xml version="1.0" encoding="utf-8"?>
<comments xmlns="http://schemas.openxmlformats.org/spreadsheetml/2006/main">
  <authors>
    <author>Госветслужба Чувашии Наталья Кедярова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Госветслужба Чувашии Наталья Кедярова:</t>
        </r>
        <r>
          <rPr>
            <sz val="9"/>
            <color indexed="81"/>
            <rFont val="Tahoma"/>
            <family val="2"/>
            <charset val="204"/>
          </rPr>
          <t xml:space="preserve">
две подуслуги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Госветслужба Чувашии Наталья Кедярова:</t>
        </r>
        <r>
          <rPr>
            <sz val="9"/>
            <color indexed="81"/>
            <rFont val="Tahoma"/>
            <family val="2"/>
            <charset val="204"/>
          </rPr>
          <t xml:space="preserve">
две подуслуги</t>
        </r>
      </text>
    </comment>
  </commentList>
</comments>
</file>

<file path=xl/sharedStrings.xml><?xml version="1.0" encoding="utf-8"?>
<sst xmlns="http://schemas.openxmlformats.org/spreadsheetml/2006/main" count="2302" uniqueCount="867">
  <si>
    <t>(наименование министерства (ведомства))</t>
  </si>
  <si>
    <t>наименование показателя</t>
  </si>
  <si>
    <t>единица измерения по ОКЕИ</t>
  </si>
  <si>
    <t>2017 год</t>
  </si>
  <si>
    <t>2018 год</t>
  </si>
  <si>
    <t>2019 год</t>
  </si>
  <si>
    <t>Наименование государственной услуги (выполнения работ)</t>
  </si>
  <si>
    <t xml:space="preserve">Показатель объема государственной услуги (выполнения работ)
</t>
  </si>
  <si>
    <t xml:space="preserve">Значение показателя объема государственной услуги (выполнения работ)
</t>
  </si>
  <si>
    <t>Объем бюджетных ассигнований на оказание государственной услуги (выполнение работ), тыс.рублей</t>
  </si>
  <si>
    <t>Код базовой услуги или работы</t>
  </si>
  <si>
    <t>Сведения о планируемых на 2017 год и на плановый период 2018 и 2019 годов объемах оказания государственных услуг (выполнения работ) государственными бюджетными и автономными учреждениями Чувашской Республики и о планируемых им объемах бюджетных ассигнований на оказание государственных услуг (выполнения работ)</t>
  </si>
  <si>
    <t>Оказание информационных услуг на основе архивных документов (типы запросов по социально-правовым запросам)</t>
  </si>
  <si>
    <t>Оказание информационных услуг на основе архивных документов (типы запросов по тематическим)</t>
  </si>
  <si>
    <t xml:space="preserve">Обеспечение доступа  к архивным документам (копиям) и справочно-поисвовым средствам( количество посещений Интернет-сайта)   </t>
  </si>
  <si>
    <t xml:space="preserve">Обеспечение доступа  к архивным документам (копиям) и справочно-поисвовым средствам( количество посещений читального зала)   </t>
  </si>
  <si>
    <t>Обеспечение сохранности и учет архивных документов (выявление особо ценных документов, проверка наличия,подшивка,реставрация)</t>
  </si>
  <si>
    <t xml:space="preserve">Научное описание архивных документов и создание справочно-поисковых средств к ним (количество описанных документов)                                                                      </t>
  </si>
  <si>
    <t xml:space="preserve">Научное описание архивных документов и создание справочно-поисковых средств к ним (количество архивных документов, сведения о которых включены в автоматизированную систему)                                                                       </t>
  </si>
  <si>
    <t>Защита сведений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</si>
  <si>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Количество исполненных запросов</t>
  </si>
  <si>
    <t>Количество посещений читального зала</t>
  </si>
  <si>
    <t>Единица</t>
  </si>
  <si>
    <t>Количество посещений Интернет-сайта</t>
  </si>
  <si>
    <t xml:space="preserve">Объем хранимых документов </t>
  </si>
  <si>
    <t xml:space="preserve">Объем документов, принятых на постоянное хранение </t>
  </si>
  <si>
    <t xml:space="preserve">Объем документов по личному составу, принятых на хранение </t>
  </si>
  <si>
    <t>Количество описанных документов</t>
  </si>
  <si>
    <t xml:space="preserve">Количество архивных документов, сведения о которых включены в автоматизированную систему учета документов Архивного фонда Российской Федерации </t>
  </si>
  <si>
    <t xml:space="preserve">Количество дел (документов), подготовленных к рассекречиванию </t>
  </si>
  <si>
    <t>Показ кинофильмов на открытой площадке</t>
  </si>
  <si>
    <t>Показ кинофильмов на закрытой площадке</t>
  </si>
  <si>
    <t>Число зрителей</t>
  </si>
  <si>
    <t>Человек</t>
  </si>
  <si>
    <t>Библиотечное, библиографическое и информационное обслуживание пользователей библиотеки (в стационарных условиях)</t>
  </si>
  <si>
    <t>Библиотечное, библиографическое и информационное обслуживание пользователей библиотеки (удалено через сеть Интернет)</t>
  </si>
  <si>
    <t>Библиотечное, библиографическое и информационное обслуживание пользователей библиотеки (вне стационара)</t>
  </si>
  <si>
    <t>Количество посещений</t>
  </si>
  <si>
    <t>Предоставление библиографической информации из государственных библиотечных фондов и информации из государственных библиотечных фондов в части, не касающейся авторских прав</t>
  </si>
  <si>
    <t>Количество предоставленных библиографических записей и полнотекстовых документов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</si>
  <si>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</si>
  <si>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</si>
  <si>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>Осуществление стабилизации, реставрации и консервации книжных памятников</t>
  </si>
  <si>
    <t>Количество документов</t>
  </si>
  <si>
    <t>Публичный показ музейных предметов и музейных коллекций ( в стационарных условиях)</t>
  </si>
  <si>
    <t>Публичный показ музейных предметов и музейных коллекций ( вне стационара)</t>
  </si>
  <si>
    <t>Публичный показ музейных предметов и музейных коллекций ( удаленно через интернет)</t>
  </si>
  <si>
    <t xml:space="preserve">Число посетителей </t>
  </si>
  <si>
    <t>Осуществление экскурсионного обслуживания</t>
  </si>
  <si>
    <t>Количество экскурсий</t>
  </si>
  <si>
    <t>Создание экспозиций (выставок) музеев, организация выездных выставок ( в стационарных условиях)</t>
  </si>
  <si>
    <t>Создание экспозиций (выставок) музеев, организация выездных выставок ( вне стационара)</t>
  </si>
  <si>
    <t>Формирование, учет, изучение, обеспечение физического сохранения и безопасности музейных предметов</t>
  </si>
  <si>
    <t>Осуществление реставрации и консервации музейных предметов, музейных коллекций ( в стационарных условиях)</t>
  </si>
  <si>
    <t>Количество предметов</t>
  </si>
  <si>
    <t xml:space="preserve">Единица </t>
  </si>
  <si>
    <t>Выявление, изучение, сохранение, развитие и популяризация объектов нематериального культурного наследия народов Российской Федерации в области традиционной народной культуры</t>
  </si>
  <si>
    <t>Количество мероприятий</t>
  </si>
  <si>
    <t>Организация деятельности клубных формирований самодеятельного народного творчества</t>
  </si>
  <si>
    <t xml:space="preserve">Количество клубных формирований </t>
  </si>
  <si>
    <t>Показ спектаклей (театральных постановок)  (балет, на стационаре, большая форма)</t>
  </si>
  <si>
    <t>Показ спектаклей (театральных постановок)  (балет, на гастролях, большая форма)</t>
  </si>
  <si>
    <t>Показ спектаклей (театральных постановок)  (опера, на стационаре, большая форма)</t>
  </si>
  <si>
    <t>Показ спектаклей (театральных постановок)  (музыкальная комедия, на стационаре, большая форма)</t>
  </si>
  <si>
    <t>Показ спектаклей (театральных постановок)  (музыкальная комедия, на выездах, малая форма)</t>
  </si>
  <si>
    <t>Показ спектаклей (театральных постановок)  (драма, на стационаре, большая форма)</t>
  </si>
  <si>
    <t>Показ спектаклей (театральных постановок)  (драма, на выезде, большая форма)</t>
  </si>
  <si>
    <t>Показ спектаклей (театральных постановок)  (драма, на гастролях, большая форма)</t>
  </si>
  <si>
    <t>Показ спектаклей (театральных постановок)  (драма, на стационаре, малая форма)</t>
  </si>
  <si>
    <t>Показ спектаклей (театральных постановок)  (драма, на выезде, малая форма)</t>
  </si>
  <si>
    <t>Показ спектаклей (театральных постановок)  (кукольный спектакль, на стационаре, малая форма)</t>
  </si>
  <si>
    <t>Показ спектаклей (театральных постановок)  (кукольный спектакль, на выезде, малая форма)</t>
  </si>
  <si>
    <t>Показ спектаклей (театральных постановок)  (кукольный спектакль, на гастролях, малая форма)</t>
  </si>
  <si>
    <t>Создание спектаклей (музыкальная комедия, большая форма)</t>
  </si>
  <si>
    <t>Создание спектаклей (балет, большая форма)</t>
  </si>
  <si>
    <t>Количество новых (капитально-возобновленных) постановок</t>
  </si>
  <si>
    <t>Создание спектаклей (драма, большая форма)</t>
  </si>
  <si>
    <t>Создание спектаклей (кукольный спектакль, малая форма)</t>
  </si>
  <si>
    <t>Штук</t>
  </si>
  <si>
    <t xml:space="preserve">Показ концертов и концертных программ  (концерт камерного оркестра- стационар)                                                           </t>
  </si>
  <si>
    <t xml:space="preserve">Показ концертов и концертных программ  (концерт камерного оркестра- на выезде)                                                           </t>
  </si>
  <si>
    <t xml:space="preserve">Показ концертов и концертных программ  (концерт камерного ансамбля - на гастролях)                                                           </t>
  </si>
  <si>
    <t xml:space="preserve">Показ концертов и концертных программ  (концерт камерного ансамбля - стационар)                                                           </t>
  </si>
  <si>
    <t xml:space="preserve">Показ концертов и концертных программ  (концерт камерного ансамбля -на выезде)                                                           </t>
  </si>
  <si>
    <t>Показ концертов и концертных программ (концерт танцевально-хореографического коллектива в стационаре)</t>
  </si>
  <si>
    <t>Показ концертов и концертных программ (концерт танцевально-хореографического коллектива на выезде)</t>
  </si>
  <si>
    <t xml:space="preserve">Показ концертов и концертных программ (сольный концерт - стационар)                                                           </t>
  </si>
  <si>
    <t xml:space="preserve">Показ концертов и концертных программ (сольный концерт - на выезде)                                                           </t>
  </si>
  <si>
    <t xml:space="preserve">Показ концертов и концертных программ (сборный концерт - стационар)                                                           </t>
  </si>
  <si>
    <t xml:space="preserve">Показ концертов и концертных программ (сборный концерт - на выезде)                                                           </t>
  </si>
  <si>
    <t xml:space="preserve">Показ концертов и концертных программ (концерт хора капеллы - стационар)                                                           </t>
  </si>
  <si>
    <t xml:space="preserve">Показ концертов и концертных программ (концерт хора капеллы - на выезде)                                                           </t>
  </si>
  <si>
    <t>Создание концертов и концертных программ (концерт камерного оркестра)</t>
  </si>
  <si>
    <t>Количество новых (капитально-возобновленных) концертов</t>
  </si>
  <si>
    <t>Создание концертов и концертных программ (концерт танцевально-хореографического коллектива)</t>
  </si>
  <si>
    <t>Создание концертов и концертных программ (сборный концерт)</t>
  </si>
  <si>
    <t>Создание концертов и концертных программ (сольный концерт)</t>
  </si>
  <si>
    <t>Показ концертов и концертных программ (концерт оркестра (большие составы) - на стационаре)</t>
  </si>
  <si>
    <t>Показ концертов и концертных программ (концерт оркестра (большие составы) - на выезде)</t>
  </si>
  <si>
    <t>Создание концертов и концертных программ (концерт оркестра (большие составы)</t>
  </si>
  <si>
    <t xml:space="preserve">Показ концертов и концертных программ (совместный концерт оркестра и хора - на выезде)                                                           </t>
  </si>
  <si>
    <t xml:space="preserve">Показ концертов и концертных программ (совместный концерт оркестра и хора - стационар)                                                           </t>
  </si>
  <si>
    <t>Создание концертов и концертных программ (совместный концерт оркестра и хора)</t>
  </si>
  <si>
    <t xml:space="preserve">Обеспечение сохранения и использования объектов культурного наследия </t>
  </si>
  <si>
    <t xml:space="preserve">Количество объектов культурного наследия </t>
  </si>
  <si>
    <t xml:space="preserve">Организация мероприятий (фестивали) </t>
  </si>
  <si>
    <t>Организация мероприятий (народные гуляния, праздники, торжественные мероприятия, памятные даты)</t>
  </si>
  <si>
    <t>Количество проведенных мероприятий</t>
  </si>
  <si>
    <t>Число обучающихся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</si>
  <si>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(народное художественное творчество)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</si>
  <si>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(социально-культурная деятельность)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</si>
  <si>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(декоративно-прикладное искусство и народные промыслы)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</si>
  <si>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(театрально-декорационное искусство)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</si>
  <si>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(Живопись)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</si>
  <si>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 (Дизайн )</t>
  </si>
  <si>
    <t xml:space="preserve">Реализация основных профессиональных образовательных программ высшего образования - программ специалитета: Актерское искусство (Очная)     </t>
  </si>
  <si>
    <t xml:space="preserve">Реализация основных профессиональных образовательных программ высшего образования - программ специалитета: Музыкально-театральное искусство (Очная)     </t>
  </si>
  <si>
    <t xml:space="preserve">Реализация основных профессиональных образовательных программ высшего образования - программ специалитета: Искусство концертного исполнительства (Очная)   </t>
  </si>
  <si>
    <t xml:space="preserve">Реализация основных профессиональных образовательных программ высшего образования - программ специалитета: Художественное руководство оперно-симфоническим оркестром и академическим хором (Очная)   </t>
  </si>
  <si>
    <t xml:space="preserve">Реализация основных профессиональных образовательных программ высшего образования - программ специалитета: Художественное руководство оперно-симфоническим оркестром и академическим хором (Очно-заочная)   </t>
  </si>
  <si>
    <t>Реализация основных профессиональных образовательных программ высшего образования - программ бакалавриата: Народная художественная культура (Заочная)</t>
  </si>
  <si>
    <t>Реализация основных профессиональных образовательных программ высшего образования - программ бакалавриата: Библиотечно-информационная деятельность (Заочная)</t>
  </si>
  <si>
    <t>Реализация основных профессиональных образовательных программ высшего образования - программ бакалавриата: Режиссура театрализованных представлений и праздников (Заочная)</t>
  </si>
  <si>
    <t>Реализация основных профессиональных образовательных программ высшего образования - программ бакалавриата: Социально-культурная деятельность (Заочная)</t>
  </si>
  <si>
    <t>Реализация основных профессиональных образовательных программ высшего образования - программ бакалавриата: Дирижирование (Заочная)</t>
  </si>
  <si>
    <t>Реализация основных профессиональных образовательных программ высшего образования - программ бакалавриата: Музыкально-инструментальное искусство (Заочная)</t>
  </si>
  <si>
    <t>Реализация основных профессиональных образовательных программ высшего образования - программ бакалавриата: Искусство народного пения (Заочная)</t>
  </si>
  <si>
    <t>Реализация основных профессиональных образовательных программ высшего образования - программ бакалавриата: Народная художественная культура (Очная)</t>
  </si>
  <si>
    <t>Реализация основных профессиональных образовательных программ высшего образования - программ бакалавриата: Социально-культурная деятельность (Очная)</t>
  </si>
  <si>
    <t>Реализация основных профессиональных образовательных программ высшего образования - программ бакалавриата: Библиотечно-информационная деятельность (Очная)</t>
  </si>
  <si>
    <t>Реализация основных профессиональных образовательных программ высшего образования - программ бакалавриата: Режиссура театрализованных представлений и праздников (Очная)</t>
  </si>
  <si>
    <t>Реализация основных профессиональных образовательных программ высшего образования - программ бакалавриата: Искусство народного пения (Очная)</t>
  </si>
  <si>
    <t>Реализация основных профессиональных образовательных программ высшего образования - программ бакалавриата: Музыкальное искусство эстрады (Очная)</t>
  </si>
  <si>
    <t>Реализация основных профессиональных образовательных программ высшего образования - программ бакалавриата: Музыкально-инструментальное искусство (Очная)</t>
  </si>
  <si>
    <t>Реализация основных профессиональных образовательных программ высшего образования - программ бакалавриата: Вокальное искусство (Очная)</t>
  </si>
  <si>
    <t xml:space="preserve"> Реализация дополнительных профессиональных образовательных программ повышения квалификации</t>
  </si>
  <si>
    <t>Количество объектов учета (регистров), отчетов, подлежащих своду</t>
  </si>
  <si>
    <t>59.14</t>
  </si>
  <si>
    <t>92.52</t>
  </si>
  <si>
    <t>92.31</t>
  </si>
  <si>
    <t>92.51</t>
  </si>
  <si>
    <t>80.30.1</t>
  </si>
  <si>
    <t>80.22.2</t>
  </si>
  <si>
    <t>91.01</t>
  </si>
  <si>
    <t>90.00</t>
  </si>
  <si>
    <t>07.001.0</t>
  </si>
  <si>
    <t>07.002.0</t>
  </si>
  <si>
    <t>07.004.1</t>
  </si>
  <si>
    <t>07.005.1</t>
  </si>
  <si>
    <t>07.011.0</t>
  </si>
  <si>
    <t>07.012.0</t>
  </si>
  <si>
    <t>07.013.1</t>
  </si>
  <si>
    <t>07.014.1</t>
  </si>
  <si>
    <t>07.015.1</t>
  </si>
  <si>
    <t>07.016.0</t>
  </si>
  <si>
    <t>07.017.1</t>
  </si>
  <si>
    <t>07.019.1</t>
  </si>
  <si>
    <t>07.021.1</t>
  </si>
  <si>
    <t>07.022.0</t>
  </si>
  <si>
    <t>07.024.1</t>
  </si>
  <si>
    <t>07.025.1</t>
  </si>
  <si>
    <t>07.029.0</t>
  </si>
  <si>
    <t>07.032.1</t>
  </si>
  <si>
    <t>07.033.1</t>
  </si>
  <si>
    <t>07.034.1</t>
  </si>
  <si>
    <t>07.035.1</t>
  </si>
  <si>
    <t>07.039.0</t>
  </si>
  <si>
    <t>07.041.1</t>
  </si>
  <si>
    <t>07.047.1</t>
  </si>
  <si>
    <t>07.042.1</t>
  </si>
  <si>
    <t>Формирование финансовой (бухгалтерской) отчетности бюджетных и автономных учреждений</t>
  </si>
  <si>
    <t>13.001.1</t>
  </si>
  <si>
    <t>13.006.1</t>
  </si>
  <si>
    <t>Ведение бухгалтерского учета бюджетными учреждениями, формирование регистров бухгалтерского учета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</si>
  <si>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(сольное и хоровое народное пение)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</si>
  <si>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(теория музыки)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</si>
  <si>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(хоровое дирижирование)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</si>
  <si>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(музыкальное искусство эстрады)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</si>
  <si>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(инструментальное исполнительство)</t>
  </si>
  <si>
    <t>Реализация основных профессиональных образовательных программ СПО - программ подготовки специалистов среднего звена на базе основного общего образования и среднего общего образования   (вокальное искусство)</t>
  </si>
  <si>
    <t xml:space="preserve">110070
110080
</t>
  </si>
  <si>
    <t>СПО</t>
  </si>
  <si>
    <t>ЦБ</t>
  </si>
  <si>
    <t>Реализация основных профессиональных образовательных программ высшего образования - программ бакалавриата: Дирижирование (Очная)</t>
  </si>
  <si>
    <t>Реализация основных профессиональных образовательных программ высшего образования - программ бакалавриата: Вокальное искусство (Заочная)</t>
  </si>
  <si>
    <t>ВПО</t>
  </si>
  <si>
    <t>Показ спектаклей (театральных постановок)  (опера, на гастролях, большая форма)</t>
  </si>
  <si>
    <t>Театры</t>
  </si>
  <si>
    <t>Показ спектаклей (театральных постановок)  (балет, на стационаре, малая форма)</t>
  </si>
  <si>
    <t>Концерты</t>
  </si>
  <si>
    <t>Организация и проведение мероприятий (конференции, семинары)</t>
  </si>
  <si>
    <t>Музеи</t>
  </si>
  <si>
    <t>Библиотеки</t>
  </si>
  <si>
    <t>ДК и ДКП</t>
  </si>
  <si>
    <t>Наследие</t>
  </si>
  <si>
    <t>Комплектование архивными документами</t>
  </si>
  <si>
    <t>Комплектование архивными документами ( по личному составу)</t>
  </si>
  <si>
    <t>Количество дел (документов), включенных в утвержденные (согласованные) описи</t>
  </si>
  <si>
    <t>Количество фильмовых материалов, принятых на хранение</t>
  </si>
  <si>
    <t>Количество фильмовых материалов, хранимых в фильмофонде</t>
  </si>
  <si>
    <t>Всего</t>
  </si>
  <si>
    <t>07.049.1</t>
  </si>
  <si>
    <t>Архивы</t>
  </si>
  <si>
    <t>07.065.1</t>
  </si>
  <si>
    <t>по Министерству культуры, по делам национальностей и архивного дела Чувашской Республики</t>
  </si>
  <si>
    <t>Комплектование архивными документами (принятых на постоянное хранение)</t>
  </si>
  <si>
    <t>Хранение, изучение, популяризация и обеспечение сохранности коллекции фильмофонда</t>
  </si>
  <si>
    <t>Формирование и учет фильмофонда</t>
  </si>
  <si>
    <t xml:space="preserve">Количество экспозиций </t>
  </si>
  <si>
    <t>Человеко-дней обслуживания</t>
  </si>
  <si>
    <t>Хозяйственно-эксплуатационное обслуживание государственных учреждений</t>
  </si>
  <si>
    <t>по Министерству физической культуры и спорта Чувашской Республики</t>
  </si>
  <si>
    <t>Количество объектов учета (регистров)</t>
  </si>
  <si>
    <t>Единица (642)</t>
  </si>
  <si>
    <t>13.002.1</t>
  </si>
  <si>
    <t>Ведение бухгалтерского учета автономными учреждениями, формирование регистров бухгалтерского учета</t>
  </si>
  <si>
    <t>Количество отчетов, подлежащих своду</t>
  </si>
  <si>
    <t>30.002.0</t>
  </si>
  <si>
    <t>Спортивная подготовка по неолимпийским видам спорта</t>
  </si>
  <si>
    <t>Число лиц, прошедших спортивную подготовку на этапах спортивной подготовки</t>
  </si>
  <si>
    <t>человек</t>
  </si>
  <si>
    <t>30.001.0</t>
  </si>
  <si>
    <t>Спортивная подготовка по олимпийским видам спорта</t>
  </si>
  <si>
    <t>30.034.1</t>
  </si>
  <si>
    <t>Обеспечение участия спортивных сборных команд в официальных спортивных мероприятиях</t>
  </si>
  <si>
    <t xml:space="preserve"> Количество мероприятий</t>
  </si>
  <si>
    <t>штука</t>
  </si>
  <si>
    <t>30.025.1</t>
  </si>
  <si>
    <t>Организация мероприятий по подготовке спортивных сборных команд</t>
  </si>
  <si>
    <t>30.031.1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</si>
  <si>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</si>
  <si>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количество привлеченных лиц</t>
  </si>
  <si>
    <t>11.791.0</t>
  </si>
  <si>
    <t>Реализация основных общеобразовательных программ основного общего образования</t>
  </si>
  <si>
    <t xml:space="preserve"> Число обучающихся</t>
  </si>
  <si>
    <t>11.623.0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</si>
  <si>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"49.00.00 ФИЗИЧЕСКАЯ КУЛЬТУРА И СПОРТ"</t>
  </si>
  <si>
    <t>11.Д07.0</t>
  </si>
  <si>
    <t>Предоставление питания</t>
  </si>
  <si>
    <t>11.794.0</t>
  </si>
  <si>
    <t>Реализация основных общеобразовательных программ среднего общего образования</t>
  </si>
  <si>
    <t>30.017.1</t>
  </si>
  <si>
    <t>Организация и проведение официальных спортивных мероприятий</t>
  </si>
  <si>
    <t>по Администрации Главы Чувашской Республики</t>
  </si>
  <si>
    <t xml:space="preserve">15.037.1
</t>
  </si>
  <si>
    <t>Организация и осуществление 
транспортного обслуживания 
должностных лиц, государствен-
ных  учреждений в случаях, 
установленных нормативными 
правовыми актами Российской 
Федерации, субъектов Российской Федерации, органов местного  самоуправления</t>
  </si>
  <si>
    <t xml:space="preserve">машино-часы
работы авто-
мобиля
</t>
  </si>
  <si>
    <t xml:space="preserve">тысяча 
автомобиле-
часов
</t>
  </si>
  <si>
    <t xml:space="preserve">Общий объем субсидий на финансовое обеспечение выполнения государственного задания на оказание государственных услуг (выполнение работ), тыс. рублей
</t>
  </si>
  <si>
    <t>по Министерству здравоохранения Чувашской Республики</t>
  </si>
  <si>
    <t>08.200.0</t>
  </si>
  <si>
    <t>Первичная медико-санитарная помощь, не включенная в базовую программу обязательного медицинского страхования</t>
  </si>
  <si>
    <t>08.202.0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</si>
  <si>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</si>
  <si>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>08.204.0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</si>
  <si>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</si>
  <si>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08.209.0</t>
  </si>
  <si>
    <t>Паллиативная медицинская помощь</t>
  </si>
  <si>
    <t>08.213.0</t>
  </si>
  <si>
    <t>Санаторно-курортное лечение</t>
  </si>
  <si>
    <t>08.300.1</t>
  </si>
  <si>
    <t>Судебно-медицинская экспертиза</t>
  </si>
  <si>
    <t>08.310.1</t>
  </si>
  <si>
    <t>Заготовка, хранение, транспортировка и обеспечение безопасности донорской крови и ее компонентов</t>
  </si>
  <si>
    <t>08.314.1</t>
  </si>
  <si>
    <t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</t>
  </si>
  <si>
    <t>08.328.1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</si>
  <si>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</si>
  <si>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08.339.1</t>
  </si>
  <si>
    <t>Патологическая анатомия</t>
  </si>
  <si>
    <t>08.346.1</t>
  </si>
  <si>
    <t>Обеспечение мероприятий, направленных на охрану и укрепление здоровья</t>
  </si>
  <si>
    <t>09.008.1</t>
  </si>
  <si>
    <t>09.013.1</t>
  </si>
  <si>
    <t>Осуществление работ по обеспечению требований информационной безопасности</t>
  </si>
  <si>
    <t>Библиотечное, библиографическое и информационное обслуживание пользователей библиотеки</t>
  </si>
  <si>
    <t>11.Д46.0</t>
  </si>
  <si>
    <t>Реализация дополнительных профессиональных программ профессиональной переподготовки</t>
  </si>
  <si>
    <t>Количество человеко-часов</t>
  </si>
  <si>
    <t>11.Д47.0</t>
  </si>
  <si>
    <t>Реализация дополнительных профессиональных программ повышения квалификации</t>
  </si>
  <si>
    <t>11.Д56.0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</si>
  <si>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</si>
  <si>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Численность обучающихся (очно)</t>
  </si>
  <si>
    <t>Численность обучающихся (очно-заочно)</t>
  </si>
  <si>
    <t>11.040.1</t>
  </si>
  <si>
    <t>Проведение прикладных научных исследований</t>
  </si>
  <si>
    <t>Количество научно-исследовательских работ</t>
  </si>
  <si>
    <t>11.Д53.0</t>
  </si>
  <si>
    <t>Реализация образовательных программ высшего образования - программ ординатуры</t>
  </si>
  <si>
    <t>по   Министерству труда и социальной защиты Чувашской Республики</t>
  </si>
  <si>
    <t>23.004.0</t>
  </si>
  <si>
    <t>Направление для получения профессионального обучения или получения дополнительного профессионального образования, включая обучение в другой местности</t>
  </si>
  <si>
    <t>23.003.0</t>
  </si>
  <si>
    <t>Психологическая поддержка безработных граждан</t>
  </si>
  <si>
    <t>22.030.0</t>
  </si>
  <si>
    <t xml:space="preserve"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 </t>
  </si>
  <si>
    <t>22.031.0</t>
  </si>
  <si>
    <t>Предоставление социального обслуживания в полустационарной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услугах,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</si>
  <si>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22.032.0</t>
  </si>
  <si>
    <t>Предоставление социального обслуживания в форме на дому,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</si>
  <si>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 xml:space="preserve">Численность граждан, получивших государственную услугу по профессиональному обучению и дополнительному профессиональному образованию </t>
  </si>
  <si>
    <t xml:space="preserve">Численность граждан, получивших государственную услугу по психологической поддержке </t>
  </si>
  <si>
    <t xml:space="preserve">Численность граждан, получивших гсоциальные услуги </t>
  </si>
  <si>
    <t xml:space="preserve">Число спортсменов </t>
  </si>
  <si>
    <t xml:space="preserve">Число пациенто-дней  </t>
  </si>
  <si>
    <t xml:space="preserve">Число посещений </t>
  </si>
  <si>
    <t xml:space="preserve">Число пациентов </t>
  </si>
  <si>
    <t xml:space="preserve">Число пациенто-дней </t>
  </si>
  <si>
    <t xml:space="preserve">Количество койко-дней </t>
  </si>
  <si>
    <t xml:space="preserve">количество экспертиз </t>
  </si>
  <si>
    <t xml:space="preserve">условная единица продукта, переработки (в перерасчете на 1 литр цельной крови) </t>
  </si>
  <si>
    <t xml:space="preserve">отчет </t>
  </si>
  <si>
    <t xml:space="preserve">количество исследований </t>
  </si>
  <si>
    <t xml:space="preserve">Количество мероприятий </t>
  </si>
  <si>
    <t xml:space="preserve">Количество компонентов инфраструктуры электронного правительства </t>
  </si>
  <si>
    <t xml:space="preserve">количество посещений </t>
  </si>
  <si>
    <t>Cоздание и развитие  информационных систем и компонентов информационно-телекоммуникационной инфраструктуры</t>
  </si>
  <si>
    <t>по  Государственному Совету Чувашской Республики</t>
  </si>
  <si>
    <t>14.002.1 (действует до 31.12.2016)</t>
  </si>
  <si>
    <t>Осуществление издательской деятельности</t>
  </si>
  <si>
    <t>объем тиража</t>
  </si>
  <si>
    <t>количество
печатных страниц</t>
  </si>
  <si>
    <t>условная единица</t>
  </si>
  <si>
    <t>койко-день</t>
  </si>
  <si>
    <t xml:space="preserve"> условная единица</t>
  </si>
  <si>
    <t>единица</t>
  </si>
  <si>
    <t>единиц</t>
  </si>
  <si>
    <t>колличество мероприятий</t>
  </si>
  <si>
    <t>по Министерству образования и молодежной политики Чувашской Республики</t>
  </si>
  <si>
    <t xml:space="preserve">
14.011.0</t>
  </si>
  <si>
    <t xml:space="preserve">Количество </t>
  </si>
  <si>
    <t>человеко-час</t>
  </si>
  <si>
    <t>14.004.1</t>
  </si>
  <si>
    <t>Административное обеспечение деятельности организации</t>
  </si>
  <si>
    <t>Количество отчетов, составленных по результатам работы;</t>
  </si>
  <si>
    <t xml:space="preserve">
14.009.0</t>
  </si>
  <si>
    <t>Организация мероприятий</t>
  </si>
  <si>
    <t>Количество участников мероприятия</t>
  </si>
  <si>
    <t>чел.</t>
  </si>
  <si>
    <t xml:space="preserve">
09.011.1</t>
  </si>
  <si>
    <t>Ведение информационных ресурсов и баз данных</t>
  </si>
  <si>
    <t>Количество информационных ресурсов и баз данных</t>
  </si>
  <si>
    <t>09.019.1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</si>
  <si>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</si>
  <si>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 xml:space="preserve">количество показателей функционирования </t>
  </si>
  <si>
    <t>14.011.0</t>
  </si>
  <si>
    <t>Предоставление консультационных и методических услуг</t>
  </si>
  <si>
    <t xml:space="preserve">количество отчетов, составленных по результатам работы </t>
  </si>
  <si>
    <t xml:space="preserve">
14.002.1
</t>
  </si>
  <si>
    <t xml:space="preserve">количество экземпляров изданий </t>
  </si>
  <si>
    <t>количество ИС обеспечения специальной деятельности</t>
  </si>
  <si>
    <t>Шт.</t>
  </si>
  <si>
    <t>11.Г55.1</t>
  </si>
  <si>
    <t>Научно-методическое обеспечение</t>
  </si>
  <si>
    <t>Научно-методическая разработка</t>
  </si>
  <si>
    <t>14.012.1</t>
  </si>
  <si>
    <t>количество проведенных консультаций</t>
  </si>
  <si>
    <t>14.008.1</t>
  </si>
  <si>
    <t>Обработка телефонных вызовов</t>
  </si>
  <si>
    <t>количество принятых телефонных вызовов</t>
  </si>
  <si>
    <t>14.006.1</t>
  </si>
  <si>
    <t>Копирование и подготовка документов</t>
  </si>
  <si>
    <t>количество печатных страниц</t>
  </si>
  <si>
    <t>Ведение бухгалтерского учета бюджетных учреждений, формирование регистров бюджетного учета</t>
  </si>
  <si>
    <t>Количество объектов учета (регистров) (единицы)</t>
  </si>
  <si>
    <t>ед.</t>
  </si>
  <si>
    <t xml:space="preserve">Ведение бухгалтерского учета автономных учреждений, формирование регистров бюджетного учета
</t>
  </si>
  <si>
    <t>13.003.1</t>
  </si>
  <si>
    <t>Ведение бухгалтерского учета казенных учреждений, формирование регистров бюджетного учета</t>
  </si>
  <si>
    <t xml:space="preserve">
13.008.1</t>
  </si>
  <si>
    <t>Формирование бюджетной отчетности для главного распорядителя, распорядителя бюджетных средств, уполномоченного на формирование сводных и консолидированных форм отчетности</t>
  </si>
  <si>
    <t>11Г540</t>
  </si>
  <si>
    <t>Коррекционно-развивающая, компенсирующая и логопедическая помощь обучающимся</t>
  </si>
  <si>
    <t>32.006.0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</si>
  <si>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</si>
  <si>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>Численность граждан, получивших социальные услуги (лица из числа детей-сирот и детей, оставшихся без попечения родителей, в возрасте от 18 до 23 лет)</t>
  </si>
  <si>
    <t>32.005.0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</si>
  <si>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</si>
  <si>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Численность семей, получивших социальные услуги (Семьи, принявшие детей-сирот и детей, оставшихся без попечения родителей, на воспитание).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</si>
  <si>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 опасном положении</t>
  </si>
  <si>
    <t>32.003.0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</si>
  <si>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</si>
  <si>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Численность граждан, получивших социальные услуги (Совершеннолетние дееспособные граждане, желающие принять ребёнка (детей) на воспитание)</t>
  </si>
  <si>
    <t>организация работы «телефона доверия»</t>
  </si>
  <si>
    <t>11Г520</t>
  </si>
  <si>
    <t>Проведение комплексного психолого–медико–педагогического обследования детей</t>
  </si>
  <si>
    <t xml:space="preserve">Профилактика незаконного потребления наркотических средств и психотропных веществ, наркомании  </t>
  </si>
  <si>
    <t>количество лиц, охваченных социально-психологическим тестированием</t>
  </si>
  <si>
    <t>Психолого-медико-педагогическое обследование детей</t>
  </si>
  <si>
    <t>11Г530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</si>
  <si>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</si>
  <si>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Число родителей</t>
  </si>
  <si>
    <t>Число педагогов</t>
  </si>
  <si>
    <t>11.787.0</t>
  </si>
  <si>
    <t>Реализация основных общеобразовательных программ начального общего образования</t>
  </si>
  <si>
    <t>32.007.0</t>
  </si>
  <si>
    <t>Содержание лиц из числа детей-сирот и детей, оставшихся без попечения родителей,  завершивших пребывание в организации для детей-сирот, но не старше 23 лет</t>
  </si>
  <si>
    <t>Численность граждан, получивших социальные услуги.</t>
  </si>
  <si>
    <t>11.Г42.0</t>
  </si>
  <si>
    <t>Реализация дополнительных общеобразовательных общеразвивающих программ</t>
  </si>
  <si>
    <t xml:space="preserve">
11.034.1</t>
  </si>
  <si>
    <t xml:space="preserve"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 </t>
  </si>
  <si>
    <t>Число обучающихся, принявших участие в олимпиадах, конкурсах, мероприятиях, направленных на выявление и развитие у обучающихся интеллектуальных и творческих способностей, , интереса к научной (научно-исследовательской) деятельности, творческой деятельности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</si>
  <si>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</si>
  <si>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Число обучающихся, принявших участие в мероприятиях, направленных на выявление и развитие  интереса к научной (научно-исследовательской) деятельности, творческой деятельности, физкультурно-спортивной деятельности (человек)</t>
  </si>
  <si>
    <t>Доля обучающихся</t>
  </si>
  <si>
    <t xml:space="preserve">
10.049.1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</si>
  <si>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</si>
  <si>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Количество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</si>
  <si>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10.050.1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</si>
  <si>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</si>
  <si>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Количество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</si>
  <si>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10.051.1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</si>
  <si>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</si>
  <si>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10.044.1</t>
  </si>
  <si>
    <t>Организация досуга детей, подростков и молодежи</t>
  </si>
  <si>
    <t>Количество проведенных культурно-досуговых мероприятий</t>
  </si>
  <si>
    <t>Количество детских и молодежных общественных объединений</t>
  </si>
  <si>
    <t>Количество проведенных республиканских спортивно-массовых мероприятий</t>
  </si>
  <si>
    <t xml:space="preserve">
30.022.1</t>
  </si>
  <si>
    <t>Организация и проведение всероссийских смотров физической подготовки граждан допризывного и призывного возрастов к военной службе</t>
  </si>
  <si>
    <t>Фактическое количество проведенных республиканских смотров физической подготовленности</t>
  </si>
  <si>
    <t>шт</t>
  </si>
  <si>
    <t>30.019.1</t>
  </si>
  <si>
    <t>Организация и проведение официальных физкультурных (физкультурно-оздоровительных) мероприятий</t>
  </si>
  <si>
    <t>число обучающихся</t>
  </si>
  <si>
    <t xml:space="preserve">
10.048.1</t>
  </si>
  <si>
    <t xml:space="preserve">Организация деятельности специализированных (профильных) лагерей </t>
  </si>
  <si>
    <t>Количество проведенных специализированных (профильных) лагерей</t>
  </si>
  <si>
    <t xml:space="preserve">
23.014.0</t>
  </si>
  <si>
    <t>Организация временного трудоустройства</t>
  </si>
  <si>
    <t>Численность граждан, получивших государственную услугу по временному трудоустройству</t>
  </si>
  <si>
    <t>23.002.0</t>
  </si>
  <si>
    <t>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</t>
  </si>
  <si>
    <t>Численность граждан, получивших государственную услугу по профориентации</t>
  </si>
  <si>
    <t>11.039.1</t>
  </si>
  <si>
    <t>Проведение фундаментальных научных исследований</t>
  </si>
  <si>
    <t>количество</t>
  </si>
  <si>
    <t xml:space="preserve">ед. </t>
  </si>
  <si>
    <t>Проведение прикладных научных исследований (соцопросы)</t>
  </si>
  <si>
    <t>Проведение прикладных научных исследований (обновление электронной энциклопедии)</t>
  </si>
  <si>
    <t>Проведение прикладных научных исследований (книга о Бичурине)</t>
  </si>
  <si>
    <t>Проведение прикладных научных исследований (учебник истории)</t>
  </si>
  <si>
    <t>11.539.0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</si>
  <si>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образования, очно - Мастер столярно-плотничных и паркетных работ</t>
  </si>
  <si>
    <t>11.744.0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</si>
  <si>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сухого строительства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</si>
  <si>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 общестроительных работ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</si>
  <si>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отделочных строительных работ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</si>
  <si>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Монтажник санитарно-технических, вентиляционных систем и оборудования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</si>
  <si>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Слесарь по изготовлению деталей и узлов технических систем в строительстве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</si>
  <si>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Элекромонтажник электрических сетей и элекрообрудоваия</t>
  </si>
  <si>
    <t>11.540.0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</si>
  <si>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по обработке цифровой информации</t>
  </si>
  <si>
    <t>11.541.0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</si>
  <si>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Монтажник радиоэлектронной аппаратуры и приборов</t>
  </si>
  <si>
    <t>11.543.0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</si>
  <si>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Электромонтер по ремонту и обслуживанию электрооборудования</t>
  </si>
  <si>
    <t>11.544.0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</si>
  <si>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Сварщик  (ручной и частично механизированной сварки (наплавки)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</si>
  <si>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Слесарь по контрольно-измерительным приборам и автоматике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</si>
  <si>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Электромонтер охранно-пожарной сигнализации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</si>
  <si>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Станочник (металлообработка)</t>
  </si>
  <si>
    <t>11.545.0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</si>
  <si>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Лаборант-эколог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</si>
  <si>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по обслуживанию магистральных трубопроводов</t>
  </si>
  <si>
    <t>11.546.0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</si>
  <si>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производства молочной продукции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</si>
  <si>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Повар, кондитер</t>
  </si>
  <si>
    <t>11.550.0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</si>
  <si>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Автомеханик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</si>
  <si>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Машинист дорожных и строительных машин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</si>
  <si>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Машинист крана (крановщик)</t>
  </si>
  <si>
    <t>11.553.0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</si>
  <si>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Портной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</si>
  <si>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Печатник плоской печати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</si>
  <si>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столярного и мебельного производства</t>
  </si>
  <si>
    <t>11.555.0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</si>
  <si>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Тракторист-машинист  сельскохозяйственного  производства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</si>
  <si>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Мастер по техническому обслуживанию и ремонту машинно-тракторного парка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</si>
  <si>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Электромонтер по ремонту и обслуживанию электрооборудования в сельскохозяйственном производстве</t>
  </si>
  <si>
    <t>11.557.0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</si>
  <si>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Продавец, контролер-кассир</t>
  </si>
  <si>
    <t>11.560.0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</si>
  <si>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- Парикмахер</t>
  </si>
  <si>
    <t>11.691.0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</si>
  <si>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образования, очно - Мастер столярно-плотничных и паркетных работ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</si>
  <si>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Мастер  общестроительных работ</t>
  </si>
  <si>
    <t>11.693.0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</si>
  <si>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Монтажник радиоэлектронной аппаратуры и приборов</t>
  </si>
  <si>
    <t>11.695.0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</si>
  <si>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Электромонтер по ремонту и обслуживанию электрооборудования</t>
  </si>
  <si>
    <t>11.696.0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</si>
  <si>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Сварщик  (ручной и частично механизированной сварки (наплавки)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</si>
  <si>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Станочник (металлообработка)</t>
  </si>
  <si>
    <t>11.697.0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</si>
  <si>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Оператор нефтепереработки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</si>
  <si>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Мастер по обслуживанию магистральных трубопроводов</t>
  </si>
  <si>
    <t>11.698.0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</si>
  <si>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Повар, кондитер</t>
  </si>
  <si>
    <t>11.702.0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</si>
  <si>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Автомеханик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</si>
  <si>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Машинист дорожных и строительных машин</t>
  </si>
  <si>
    <t>11.705.0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</si>
  <si>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Портной</t>
  </si>
  <si>
    <t>11.707.0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</si>
  <si>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Тракторист-машинист  сельскохозяйственного  производства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</si>
  <si>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Мастер по техническому обслуживанию и ремонту машинно-тракторного парка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</si>
  <si>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Электромонтер по ремонту и обслуживанию электрооборудования в сельскохозяйственном производстве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</si>
  <si>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Пчеловод</t>
  </si>
  <si>
    <t>11.712.0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</si>
  <si>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Парикмахер</t>
  </si>
  <si>
    <t>11.714.0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</si>
  <si>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- Изготовитель художественных изделий из дерева</t>
  </si>
  <si>
    <t>11.592.0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</si>
  <si>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образования, очно - Строительство и эксплуатация зданий и сооружений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</si>
  <si>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Строительство и эксплуатация  автомобильных дорог и аэродромов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</si>
  <si>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Монтаж и эксплуатация 
внутренних сантехнических устройств, кондиционирования воздуха и вентиляции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</si>
  <si>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Монтаж, наладка и эксплуатация электрооборудования промышленных и гражданских зданий</t>
  </si>
  <si>
    <t>11.593.0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</si>
  <si>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Компьютерные системы и комплексы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</si>
  <si>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Компьютерные сети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</si>
  <si>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 - Программирование в компьютерных системах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</si>
  <si>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Информационные системы 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</si>
  <si>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Прикладная информатика (по отраслям)</t>
  </si>
  <si>
    <t>11.594.0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</si>
  <si>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Организация и технология защиты информации</t>
  </si>
  <si>
    <t>11.595.0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</si>
  <si>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Техническое обслуживание и ремонт радиоэлектронной техники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</si>
  <si>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Многоканальные телекоммуникационные системы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</si>
  <si>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Сети связи и системы коммутации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</si>
  <si>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Почтовая связь</t>
  </si>
  <si>
    <t>11.596.0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</si>
  <si>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Биотехнические и медицинские аппараты и системы</t>
  </si>
  <si>
    <t>11.597.0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</si>
  <si>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Теплоснабжение и теплотехническое оборудование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</si>
  <si>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 Электроснабжение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</si>
  <si>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Техническая эксплуатация и обслуживание электрического и электромеханического оборудования (по отраслям)</t>
  </si>
  <si>
    <t>11.599.0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</si>
  <si>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Монтаж и техническая  эксплуатация промышленного оборудования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</si>
  <si>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Техническая эксплуатация оборудования в торговле и общественном питаниии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</si>
  <si>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Автоматизация технологических процессов и производств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</si>
  <si>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машиностроения</t>
  </si>
  <si>
    <t>11.600.0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</si>
  <si>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Химическая технология органических веществ</t>
  </si>
  <si>
    <t>11.601.0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</si>
  <si>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хранения и переработки зерна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</si>
  <si>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хлеба, кондитерских и макаронных изделий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</si>
  <si>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молока и молочных продуктов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</si>
  <si>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мяса и мясных продуктов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</si>
  <si>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продукции общественного питания</t>
  </si>
  <si>
    <t>11.602.0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</si>
  <si>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Рациональное использование природохозяйственных комплексов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</si>
  <si>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 Пожарная безопасность</t>
  </si>
  <si>
    <t>11.603.0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</si>
  <si>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Сооружение и эксплуатация газонефтепроводов и газонефтехранилищ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</si>
  <si>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Земельно-имущественные  отношения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</si>
  <si>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Прикладная геодезия</t>
  </si>
  <si>
    <t>11.604.0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</si>
  <si>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Сварочное производство</t>
  </si>
  <si>
    <t>11.605.0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</si>
  <si>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Техническое обслуживание  и ремонт автомобильного транспорта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</si>
  <si>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Техническая эксплуатация подъемно-транспортных, дорожных, строительных машин и оборудования</t>
  </si>
  <si>
    <t>11.610.0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</si>
  <si>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Конструирование, моделирование и технология швейных изделий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</si>
  <si>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текстильных изделий (по видам)</t>
  </si>
  <si>
    <t>11.613.0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</si>
  <si>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Фармация</t>
  </si>
  <si>
    <t>11.615.0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</si>
  <si>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Технология деревообработки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</si>
  <si>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Механизация сельского хозяйства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</si>
  <si>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Электрификация и автоматизация сельского хозяйства</t>
  </si>
  <si>
    <t>11.617.0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</si>
  <si>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Экономика и бухгалтерский учет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</si>
  <si>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Операционная деятельность в логистике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</si>
  <si>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Коммерция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</si>
  <si>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-Товароведение и экспертиза качества потребительских товаров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</si>
  <si>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 Банковское дело</t>
  </si>
  <si>
    <t>11.619.0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</si>
  <si>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-Право и организация социального обеспечения</t>
  </si>
  <si>
    <t>11.620.0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</si>
  <si>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Реклама</t>
  </si>
  <si>
    <t>11.621.0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</si>
  <si>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Парикмахерское искусство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</si>
  <si>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Флористика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</si>
  <si>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Сервис домашнего и коммнуального хозяйства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</si>
  <si>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Туризм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</si>
  <si>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Гостиничный сервис</t>
  </si>
  <si>
    <t>11.631.0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</si>
  <si>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Дошкольное образование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</si>
  <si>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Преподавание в начальных классах</t>
  </si>
  <si>
    <t>11.622.0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</si>
  <si>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Документационное обеспечение управления и архивоведение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</si>
  <si>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Физическая культура</t>
  </si>
  <si>
    <t>11.627.0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</si>
  <si>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Музыкальное образование</t>
  </si>
  <si>
    <t>11.628.0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</si>
  <si>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- Дизайн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</si>
  <si>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образования, очно - Строительство и эксплуатация зданий и сооружений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</si>
  <si>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 и эксплуатация 
внутренних сантехнических устройств, кондиционирования воздуха и вентиляции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</si>
  <si>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Монтаж, наладка и эксплуатация электрооборудования промышленных и гражданских зданий</t>
  </si>
  <si>
    <t>11.745.0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</si>
  <si>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Программирование в компьютерных системах</t>
  </si>
  <si>
    <t>11.749.0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</si>
  <si>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Теплоснабжение и теплотехническое оборудование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</si>
  <si>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 Электроснабжение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</si>
  <si>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Техническая эксплуатация и обслуживание электрического и электромеханического оборудования (по отраслям)</t>
  </si>
  <si>
    <t>11.753.0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</si>
  <si>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продукции общественного питания</t>
  </si>
  <si>
    <t>11.755.0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</si>
  <si>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Прикладная геодезия</t>
  </si>
  <si>
    <t>11.757.0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</si>
  <si>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Техническое обслуживание  и ремонт автомобильного транспорта</t>
  </si>
  <si>
    <t>11.762.0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</si>
  <si>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Конструирование, моделирование и технология швейных изделий</t>
  </si>
  <si>
    <t>11.767.0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</si>
  <si>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деревообработки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</si>
  <si>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Механизация сельского хозяйства</t>
  </si>
  <si>
    <t>11.769.0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</si>
  <si>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Экономика и бухгалтерский учет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</si>
  <si>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 Банковское дело</t>
  </si>
  <si>
    <t>11.773.0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</si>
  <si>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Организация обслуживания в общественном питании</t>
  </si>
  <si>
    <t>11.774.0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</si>
  <si>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Дошкольное образование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</si>
  <si>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образования, заочно - Механизация сельского хозяйства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</si>
  <si>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образования, заочно - Строительство и эксплуатация зданий и сооружений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</si>
  <si>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Строительство и эксплуатация  автомобильных дорог и аэродромов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</si>
  <si>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 и эксплуатация внутренних сантехнических устройств, кондиционирования воздуха и вентиляции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</si>
  <si>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Компьютерные системы и комплексы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</si>
  <si>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Компьютерные сети</t>
  </si>
  <si>
    <t>11.747.0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</si>
  <si>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Многоканальные телекоммуникационные системы</t>
  </si>
  <si>
    <t>11.751.0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</si>
  <si>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Монтаж и техническая  эксплуатация промышленного оборудования (по отраслям)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</si>
  <si>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Техническая эксплуатация оборудования в торговле и общественном питаниии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</si>
  <si>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Автоматизация технологических процессов и производств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</si>
  <si>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машиностроения</t>
  </si>
  <si>
    <t>11.756.0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</si>
  <si>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Литейное производство черных и цветных металлов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</si>
  <si>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Техническая эксплуатация подъемно-транспортных, дорожных, строительных машин и оборудования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</si>
  <si>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Технология производства и переработки сельскохозяйственной продукции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</si>
  <si>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Электрификация и автоматизация сельского хозяйства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</si>
  <si>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Товароведение и экспертиза качества потребительских товаров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</si>
  <si>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- Преподавание в начальных классах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</si>
  <si>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образования, очно-заочно - Технология продукции общественного питания</t>
  </si>
  <si>
    <t>11.Г51.0</t>
  </si>
  <si>
    <t xml:space="preserve"> 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</si>
  <si>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 xml:space="preserve">Количество человеко-часов </t>
  </si>
  <si>
    <t>11.784.0</t>
  </si>
  <si>
    <t>Реализация основных общеобразовательных программ дошкольного образования (обучающиеся с ОВЗ от 1 года до 3 лет, очная форма)</t>
  </si>
  <si>
    <t>Реализация основных общеобразовательных программ дошкольного образования (дети с ОВЗ от 3 до 8 лет, обучающиеся по очной форме)</t>
  </si>
  <si>
    <t>Реализация основных общеобразовательных программ дошкольного образования (дети-инвалиды от 1 года до 3 лет, обучающиеся по очной форме)</t>
  </si>
  <si>
    <t>Реализация основных общеобразовательных программ дошкольного образования (дети-инвалиды от 3 до 8 лет, обучающиеся по очной форме)</t>
  </si>
  <si>
    <t>Реализация основных общеобразовательных программ дошкольного образования (дети-инвалиды, проходящие обучение по состоянию здоровья на дому)</t>
  </si>
  <si>
    <t xml:space="preserve">Число обучающихся </t>
  </si>
  <si>
    <t xml:space="preserve">11.785.0
</t>
  </si>
  <si>
    <t>Присмотр и уход (дети-инвалиды от 3 до 8 лет, обучающиеся по очной форме)</t>
  </si>
  <si>
    <t>11.785.0</t>
  </si>
  <si>
    <t>Присмотр и уход (дети-инвалиды от 3 до 8 лет, круглосуточно)</t>
  </si>
  <si>
    <t>Реализация основных общеобразовательных программ начального общего образования (дети-инвалиды, обучающиеся по очной форме)</t>
  </si>
  <si>
    <t>Реализация основных общеобразовательных программ начального общего образования (обучающиеся с ОВЗ по очной форме)</t>
  </si>
  <si>
    <t>Реализация основных общеобразовательных программ начального общего образования (дети-инвалиды, проходящие обучение по состоянию здоровья на дому)</t>
  </si>
  <si>
    <t xml:space="preserve">11.787.0
</t>
  </si>
  <si>
    <t>Реализация основных общеобразовательных программ начального общего образования (дети, нуждающиеся в длительном лечении, проходящие обучение по состоянию здоровья в медицинских организациях)</t>
  </si>
  <si>
    <t>Реализация основных общеобразовательных программ начального общего образования (дети, находящиеся в Центре временного содержания несовершеннолетних првонарушителей МВД по Чувашской Республике)</t>
  </si>
  <si>
    <t>11.788.0</t>
  </si>
  <si>
    <t>Реализация адаптированных основных общеобразовательных программ начального общего образования (глухие по очной форме обучения)</t>
  </si>
  <si>
    <t>Реализация адаптированных основных общеобразовательных программ начального общего образования (слабослышащие и позднооглохшие по очной форме обучения)</t>
  </si>
  <si>
    <t>Реализация адаптированных основных общеобразовательных программ начального общего образования (слепые, обучающиеся очно)</t>
  </si>
  <si>
    <t>Реализация адаптированных основных общеобразовательных программ начального общего образования (слабовидящие, обучающиеся очно)</t>
  </si>
  <si>
    <t>Реализация адаптированных основных общеобразовательных программ начального общего образования (дети с тяжелыми нарушениями речи, обучающиеся по очной форме)</t>
  </si>
  <si>
    <t>Реализация адаптированных основных общеобразовательных программ начального общего образования (обучающиеся с ЗПР по очной форме)</t>
  </si>
  <si>
    <t>Реализация основных общеобразовательных программ основного общего образования (обучающиеся с ОВЗ по очной форме)</t>
  </si>
  <si>
    <t>Реализация основных общеобразовательных программ основного общего образования (дети с ОВЗ, обучающиеся по заочной форме)</t>
  </si>
  <si>
    <t>Реализация основных общеобразовательных программ основного общего образования (дети-инвалиды, обучающиеся по очной форме)</t>
  </si>
  <si>
    <t>Реализация основных общеобразовательных программ основного общего образования (дети-инвалиды, проходящие обучение по состоянию здоровья на дому)</t>
  </si>
  <si>
    <t xml:space="preserve">11.791.0
</t>
  </si>
  <si>
    <t xml:space="preserve">Реализация основных общеобразовательных программ основного общего образования (дети-инвалиды, проходящие обучение по состоянию здоровья на дому с применением дистанционных образовательных технологий и электронного обучения) </t>
  </si>
  <si>
    <t>Реализация основных общеобразовательных программ основного общего образования (дети, нуждающиеся в длительном лечении, проходящие обучение по состоянию здоровья в медицинских организациях)</t>
  </si>
  <si>
    <t>Реализация основных общеобразовательных программ основного общего образования (дети, находящиеся в Центре временного содержания несовершеннолетних правонарушителей МВД по ЧР)</t>
  </si>
  <si>
    <t>Реализация основных общеобразовательных программ среднего общего образования (дети с ОВЗ, обучающиеся по очной форме)</t>
  </si>
  <si>
    <t>Реализация основных общеобразовательных программ среднего общего образования (дети-инвалиды, обучающиеся по очной форме)</t>
  </si>
  <si>
    <t>Реализация основных общеобразовательных программ среднего общего образования (дети, находящиеся в Центре временного содержания несовершеннолетних правонарушителей МВД по ЧР)</t>
  </si>
  <si>
    <t>Реализация основных общеобразовательных программ среднего общего образования (дети, нуждающиеся в длительном лечении, проходящие обучение по состоянию здоровья в медицинских организациях)</t>
  </si>
  <si>
    <t xml:space="preserve">Предоставление питания (школьники, обучающиеся по очной форме)                                   </t>
  </si>
  <si>
    <t>11.Д39.0</t>
  </si>
  <si>
    <t>Реализация адаптированных общеобразовательных программ для детей с умственной отсталостью (дети с ОВЗ, проходящие обучение по состоянию здоровья на дому)</t>
  </si>
  <si>
    <t>Реализация адаптированных общеобразовательных программ для детей с умственной отсталостью (дети с ОВЗ, обучающиеся по очной форме)</t>
  </si>
  <si>
    <t>Реализация адаптированных общеобразовательных программ для детей с умственной отсталостью (дети-инвалиды, обучающиеся по очной форме)</t>
  </si>
  <si>
    <t>Реализация адаптированных основных общеобразовательных программ для детей с умственной отсталостью (дети-инвалиды, проходящие обучение по состоянию здоровья на дому)</t>
  </si>
  <si>
    <t>Присмотр и уход (дети с ОВЗ от 1 года до 3 лет, обучающиеся по очной форме)</t>
  </si>
  <si>
    <t>Присмотр и уход (обучающиесяс ОВЗ от 3 до 8 лет по очной форме)</t>
  </si>
  <si>
    <t>Присмотр и уход (дети с ОВЗ от 3 до 8 лет, круглосуточно)</t>
  </si>
  <si>
    <t>11.Г41.0</t>
  </si>
  <si>
    <t>Содержание детей (обучающиеся с ОВЗ)</t>
  </si>
  <si>
    <t>Содержание детей (дети-инвалиды)</t>
  </si>
  <si>
    <t>32.001.0</t>
  </si>
  <si>
    <t>Защита прав и законных интересов детей-сирот и детей, оставшихся без попечения родителей</t>
  </si>
  <si>
    <t>Дети-сироты и дети, оставшиеся без попечения родителей</t>
  </si>
  <si>
    <t>32.002.0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</si>
  <si>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</si>
  <si>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 (дети-сироты и дети, оставшиеся без попечения родителей)</t>
  </si>
  <si>
    <t>32.004.0</t>
  </si>
  <si>
    <t>Психолого-медико-педагогическая реабилитация детей</t>
  </si>
  <si>
    <t>32.008.0</t>
  </si>
  <si>
    <t>Содействие устройству детей на воспитание в семью</t>
  </si>
  <si>
    <t>Содержание и воспитание
 детей-сирот и детей, оставшихся без попечения родителей, детей, находящихся в трудной жизненной ситуации (Дети-сироты и дети, оставшиеся без попечения родителей или законных представителей, дети, находящиеся в трудной жизненной ситуации)</t>
  </si>
  <si>
    <t xml:space="preserve">Численность граждан, получивших социальные услуги (дети-сироты и дети, оставшиеся без попечения родителей)
</t>
  </si>
  <si>
    <t xml:space="preserve"> Численность граждан, получивших социальные услуги (дети, находящиеся в трудной жизненной ситуации)</t>
  </si>
  <si>
    <t xml:space="preserve">Подготовка граждан, 
выразивших желание принять детей-сирот и детей, оставшихся без попечения родителей, на семейные формы устройства (Совершеннолетние дееспособные граждане, желающие принять ребёнка (детей) на воспитание) </t>
  </si>
  <si>
    <t xml:space="preserve"> Численность граждан, получивших социальные услуги (Совершеннолетние дееспособные граждане, желающие принять ребенка (детей) на воспитание)</t>
  </si>
  <si>
    <t>Психолого-медико-педагогическая  реабилитация детей (Дети-сироты и дети, оставшихся без попечения родителей, дети, находящиеся в трудной жизненной ситуации)</t>
  </si>
  <si>
    <t xml:space="preserve"> Численность граждан, получивших социальные услуги (дети-сироты и дети, оставшиеся без попечения родителей)</t>
  </si>
  <si>
    <t>Численность граждан, получивших социальные услуги (дети, находящиеся в трудной жизненной ситуации)</t>
  </si>
  <si>
    <t>Оказание 
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 (Семьи, принявшие детей-сирот и детей, оставшихся без попечения родителей, на воспитание)</t>
  </si>
  <si>
    <t xml:space="preserve"> Численность семей, получивших социальные услуги (Семьи, принявшие детей-сирот и детей, оставшихся без попечения родителей, на воспитание)</t>
  </si>
  <si>
    <t>Оказание 
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 (Дети-сироты и дети, оставшиеся без попечения родителей, завершивших пребывание в организациях для детей-сирот и детей, оставшихся без попечения родителей; Лица из числа детей-сирот и детей, оставшихся без попечения родителей, в возрасте от 18 до 23 лет)</t>
  </si>
  <si>
    <t xml:space="preserve"> Численность граждан, получивших социальные услуги (дети-сироты и дети, оставшиеся без попечения родителей, завершившие пребывание в организациях для детей-сирот и детей, оставшихся без попечения родителей) </t>
  </si>
  <si>
    <t>Оказание 
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  (Дети-сироты и дети, оставшиеся без попечения родителей, завершивших пребывание в организациях для детей-сирот и детей, оставшихся без попечения родителей; Лица из числа детей-сирот и детей, оставшихся без попечения родителей, в возрасте от 18 до 23 лет)</t>
  </si>
  <si>
    <t xml:space="preserve"> Численность граждан, получивших социальные услуги (лица из числа детей-сирот и детей, оставшихся без попечения родителей, в возрасте от 18 до 23 лет)</t>
  </si>
  <si>
    <t>Содержание 
лиц из числа детей-сирот и детей, оставшихся без попечения родителей, завершивших пребывание в организации для детей-сирот, но не старше 23 лет (Лица из числа детей-сирот и детей, оставшихся без попечения родителей, завершивших пребывание в организациях для детей-сирот и детей, оставшихся без попечения родителей)</t>
  </si>
  <si>
    <t xml:space="preserve"> Численность граждан, получивших социальные услуги</t>
  </si>
  <si>
    <t>Содействие 
устройству детей на воспитание в семью (Дети-сироты и дети, оставшиеся без попечения родителей, совершеннолетние дееспособные граждане)</t>
  </si>
  <si>
    <t xml:space="preserve"> Дети-сироты и дети,оставшиеся без попечения родителей</t>
  </si>
  <si>
    <t xml:space="preserve"> Совершеннолетние дееспособные граждане</t>
  </si>
  <si>
    <t>Защита прав и 
законных интересов детей-сирот и детей, оставшихся без попечения родителей (Дети-сироты и дети, оставшихся без попечения родителей, дети, находящиеся в трудной жизненной ситуации, а также лица из числа детей-сирот и детей, оставшихся без попечения родителей)</t>
  </si>
  <si>
    <t>Дети, находящиеся в трудной жизненной ситуации</t>
  </si>
  <si>
    <t>Реализация 
дополнительных общеобразовательных общеразвивающих программ (Дети-сироты и дети, оставшихся без попечения родителей, дети, находящиеся в трудной жизненной ситуации)</t>
  </si>
  <si>
    <t>Дети-сироты и дети, оставшиеся безпопечения родителей</t>
  </si>
  <si>
    <t>Содержание детей</t>
  </si>
  <si>
    <t>Предоставление  питания обучающимся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</si>
  <si>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</si>
  <si>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 xml:space="preserve">Присмотр и уход </t>
  </si>
  <si>
    <r>
      <t>Реализация основных общеобразовательных программ - образовательных программ начального общего образования</t>
    </r>
    <r>
      <rPr>
        <sz val="10"/>
        <color rgb="FF0070C0"/>
        <rFont val="Times New Roman"/>
        <family val="1"/>
        <charset val="204"/>
      </rPr>
      <t xml:space="preserve"> </t>
    </r>
  </si>
  <si>
    <r>
      <t>Реализация основных общеобразовательных программ - образовательных программ основного общего образования</t>
    </r>
    <r>
      <rPr>
        <sz val="10"/>
        <color rgb="FF0070C0"/>
        <rFont val="Times New Roman"/>
        <family val="1"/>
        <charset val="204"/>
      </rPr>
      <t xml:space="preserve"> </t>
    </r>
  </si>
  <si>
    <r>
      <t>Реализация основных общеобразовательных программ - образовательных программ среднего общего образования</t>
    </r>
    <r>
      <rPr>
        <sz val="10"/>
        <color rgb="FF0070C0"/>
        <rFont val="Times New Roman"/>
        <family val="1"/>
        <charset val="204"/>
      </rPr>
      <t xml:space="preserve"> </t>
    </r>
  </si>
  <si>
    <t>Общий объем субсидий на финансовое обеспечение выполнения государственного задания на оказание государственных услуг (выполнение работ), тыс. рублей</t>
  </si>
  <si>
    <t xml:space="preserve">по Министерству информационной политики и массовых коммуникаций Чувашской Республики </t>
  </si>
  <si>
    <t>09.020.1</t>
  </si>
  <si>
    <t>Производство и распространение телепрограмм</t>
  </si>
  <si>
    <t>Количество телепередач</t>
  </si>
  <si>
    <t>час</t>
  </si>
  <si>
    <t>09.025.1</t>
  </si>
  <si>
    <t>Производство и распространение радиопрограмм</t>
  </si>
  <si>
    <t>Время вещания в эфире</t>
  </si>
  <si>
    <t>минута</t>
  </si>
  <si>
    <t>14.002.1  
(работа по подготовке газет)</t>
  </si>
  <si>
    <t>14.001.0
(услуга по выпуску газет</t>
  </si>
  <si>
    <t>лист печатный</t>
  </si>
  <si>
    <t>14.002.1  
(работа по подготовке журналов)</t>
  </si>
  <si>
    <t xml:space="preserve">Осуществление издательской деятельности </t>
  </si>
  <si>
    <t>14.001.0
(услуга по выпуску журналов)</t>
  </si>
  <si>
    <t>14.002.1
(работа по подготовке иных периодических изданий)</t>
  </si>
  <si>
    <t>14.001.0
(услуга по выпуску иных периодических изданий)</t>
  </si>
  <si>
    <t>09.012.1</t>
  </si>
  <si>
    <t>Осуществление функции Удостоверяющего центра</t>
  </si>
  <si>
    <t xml:space="preserve">количество выданных ключей электронной подписи </t>
  </si>
  <si>
    <t>количество Центров обработки данных</t>
  </si>
  <si>
    <t>количество компонентов информационно-телекоммуникационной инфраструктуры</t>
  </si>
  <si>
    <t xml:space="preserve">количество информационных систем обеспечения специальной деятельности </t>
  </si>
  <si>
    <t xml:space="preserve"> количество информационных систем обеспечения специальной деятельности </t>
  </si>
  <si>
    <t xml:space="preserve"> количество информационных систем обеспечения типовой деятельности </t>
  </si>
  <si>
    <t xml:space="preserve">количество учетных записей </t>
  </si>
  <si>
    <t>количество серверного технического обслуживания и оборудования Центров обработки данных</t>
  </si>
  <si>
    <t>количество телекоммуникационного оборудования</t>
  </si>
  <si>
    <t>количество средств IP-телефонии</t>
  </si>
  <si>
    <t xml:space="preserve">по Государственной ветеринарной службе Чувашской Республики </t>
  </si>
  <si>
    <t>Показатель объема государственной услуги (выполнения работ)</t>
  </si>
  <si>
    <t>Значение показателя объема государственной услуги (выполнения работ)</t>
  </si>
  <si>
    <t>Объем бюджетных ассигнований на оказание государственной услуги (выполнение работ), тыс. рублей</t>
  </si>
  <si>
    <t>12.611.0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</si>
  <si>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</si>
  <si>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количество мероприятий</t>
  </si>
  <si>
    <t>количество вакцинаций</t>
  </si>
  <si>
    <t>количество документов</t>
  </si>
  <si>
    <t>12.612.0</t>
  </si>
  <si>
    <t>Оформление и выдача ветеринарных сопроводительных документов</t>
  </si>
  <si>
    <t>12.613.0</t>
  </si>
  <si>
    <t>Проведение мероприятий по защите населения от болезней общих для человека и животных и пищевых отравлений</t>
  </si>
  <si>
    <t>по Министерству природных ресурсов и экологии Чувашской Республики</t>
  </si>
  <si>
    <t>06.022.1</t>
  </si>
  <si>
    <t>Лабораторное обеспечение государственного экологического надзора и надзора на море</t>
  </si>
  <si>
    <t>количество мероприятий по лабораторному обеспечению</t>
  </si>
  <si>
    <t>06.016.1</t>
  </si>
  <si>
    <t>Предупреждение возникновения и распространения лесных пожаров, включая территорию  особо охраняемых природных территорий</t>
  </si>
  <si>
    <t>площадь лесного фонда, расположенного на территории Чувашской Республики</t>
  </si>
  <si>
    <t>гектар</t>
  </si>
  <si>
    <t>количество объектов противопожарного обустройства (обеспечение функционирования пожарно-химических станций)</t>
  </si>
  <si>
    <t>протяженность объектов противопожарного обустройства (строительство дорог, предназначенных для охраны лесов от пожаров)</t>
  </si>
  <si>
    <t>километр</t>
  </si>
  <si>
    <t>протяженность объектов противопожарного обустройства (реконструкция дорог, предназначенных для охраны лесов от пожаров)</t>
  </si>
  <si>
    <t>протяженность объектов противопожарного обустройства (устройство противопожарных минерализованных полос)</t>
  </si>
  <si>
    <t>протяженность объектов противопожарного обустройства (прочистка и обновление противопожарных минерализованных полос)</t>
  </si>
  <si>
    <t>площадь территории, охваченной мероприятиями по охране и защите лесов (профилактическое контролируемое противопожарное выжигание хвороста, лесной подстилки, сухой травы и др.)</t>
  </si>
  <si>
    <t>количество установленных предупредительных знаков и объектов (установка и размещение стендов и других знаков, указателей, содержащих информацию о мерах пожарной безопасности в лесах)</t>
  </si>
  <si>
    <t>количество установленных предупредительных знаков и объектов (установка шлагбаумов, устройств, преград, обеспечивающих ограничение пребывания граждан в лесах в целях обеспечения пожарной безопасности)</t>
  </si>
  <si>
    <t>количество установленных предупредительных знаков и объектов (эксплуатация пожарных водоемов и подъездов к источникам водоснабжения)</t>
  </si>
  <si>
    <t>05.011.0</t>
  </si>
  <si>
    <t>Осуществление мероприятий в области использования лесов, включая организацию и развитие туризма и отдыха в лесах</t>
  </si>
  <si>
    <t>количество объектов (благоустройство зон отдыха граждан, пребывающих в лесах)</t>
  </si>
  <si>
    <t>06.020.1</t>
  </si>
  <si>
    <t>Тушение лесных пожаров</t>
  </si>
  <si>
    <t>площадь территории, охваченной мероприятиями по тушению лесного пожара</t>
  </si>
  <si>
    <t>05.007.1</t>
  </si>
  <si>
    <t>Осуществление лесовосстановления и лесоразведения</t>
  </si>
  <si>
    <t>площадь территории, охваченной мероприятий по восстановлению лесов (искусственное лесовосстановление)</t>
  </si>
  <si>
    <t>площадь территории, охваченной мероприятий по восстановлению лесов (комбинированное лесовосстановление)</t>
  </si>
  <si>
    <t>площадь территории, охваченной мероприятий по восстановлению лесов (содействие естественному лесовосстановлению)</t>
  </si>
  <si>
    <t>площадь территории, охваченной мероприятий по восстановлению лесов (дополнение лесных культур)</t>
  </si>
  <si>
    <t>площадь территории, охваченной мероприятий по восстановлению лесов (проведение агротехнического ухода за лесными культурами, механизированная)</t>
  </si>
  <si>
    <t>площадь территории, охваченной мероприятий по восстановлению лесов (проведение агротехнического ухода за лесными культурами, ручная)</t>
  </si>
  <si>
    <t>площадь территории, охваченной мероприятий по восстановлению лесов (лесоразведение на землях лесного фонда)</t>
  </si>
  <si>
    <t>площадь территории, охваченной мероприятий по восстановлению лесов (подготовка почвы под лесные культуры)</t>
  </si>
  <si>
    <t>площадь территории, охваченной мероприятий по восстановлению лесов (уход за лесами в молодняках)</t>
  </si>
  <si>
    <t>площадь территории, охваченной мероприятиями по восстановлению лесов (подготовка лесного участка для лесовосстановления)</t>
  </si>
  <si>
    <t>05.010.1</t>
  </si>
  <si>
    <t>Выполнение работ по отводу лесосек</t>
  </si>
  <si>
    <t>площадь территории, охваченной мероприятий по отводу лесосек</t>
  </si>
  <si>
    <t>05.009.1</t>
  </si>
  <si>
    <t>Выполнение работ по лесному семеноводству</t>
  </si>
  <si>
    <t>площадь территории, охваченной мероприятий по выращиванию (производство) стандартного посадочного материала лесных растений</t>
  </si>
  <si>
    <t xml:space="preserve">площадь территории, охваченной мероприятиями по созданию и уходу за объектами лесного семеноводства </t>
  </si>
  <si>
    <t xml:space="preserve">количество заготовленных семян лесных растений </t>
  </si>
  <si>
    <t>килограмм</t>
  </si>
  <si>
    <t>количество плюсовых деревьев</t>
  </si>
  <si>
    <t>по Министерству строительства, архитектуры и жилищно-коммунального хозяйства Чувашской Республики</t>
  </si>
  <si>
    <t>количество консультационных и методических услуг</t>
  </si>
  <si>
    <t>28.043.0</t>
  </si>
  <si>
    <t>Государственная экспертиза проектной документации и государственная экспертиза результатов инженерных изысканий</t>
  </si>
  <si>
    <t>предъявленные к экспертизе строительно-монтажные, пуско-наладочные и ремонтно-строительные работы</t>
  </si>
  <si>
    <t>шт.</t>
  </si>
  <si>
    <t>млн.рублей</t>
  </si>
  <si>
    <t>28.046.1</t>
  </si>
  <si>
    <t>Разработка прогнозных индексов изменения стоимости работ, осуществляемых в градостроительной и инвестиционно-строительной сфере</t>
  </si>
  <si>
    <t>кол-во сборников</t>
  </si>
  <si>
    <t>по Министерству экономического развития, промышленности и торговли Чувашской Республики</t>
  </si>
  <si>
    <t>Объем бюджетных ассигнований, непосредственно связанный с оказанием услуги (выполнением работ), тыс.рублей</t>
  </si>
  <si>
    <t>19.001.0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</si>
  <si>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</si>
  <si>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количество государственных и муниципальных услуг</t>
  </si>
  <si>
    <t>18.011.0</t>
  </si>
  <si>
    <t>Предоставление услуг субъектам малого и среднего предпринимательства по регулированию и содействию эффективному ведению экономической деятельности, деятельность в области региональной, национальной и молодежной политики</t>
  </si>
  <si>
    <t>количество субъектов малого и среднего пред-принимательства, обра-тившихся за услугой</t>
  </si>
  <si>
    <t>18.003.0</t>
  </si>
  <si>
    <t>Предоставление информационной и консультационной поддержки субъектам малого и среднего предпринимательства</t>
  </si>
  <si>
    <t>количество субъектов малого и среднего предпринимательства, физических лиц, обратившихся за услугой</t>
  </si>
  <si>
    <t>по Министерству юстиции и имущественных отношений Чувашской Республики</t>
  </si>
  <si>
    <t>Предоставление разъяснений, связанных с определением кадастровой стоимости*</t>
  </si>
  <si>
    <t>количество консультаций, интервью, статей, выступлений</t>
  </si>
  <si>
    <t>Деятельность по созданию и использованию баз данных и информационных ресурсов, включающая сбор, обработку, систематизацию и накопление информации, необходимой для определения кадастровой стоимости, в том числе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проведения*</t>
  </si>
  <si>
    <t>количество баз данных</t>
  </si>
  <si>
    <t>* Ведется работа по включению государственной услуги в базовый (отраслевой) перечень государственных и муниципальных услуг и работ</t>
  </si>
  <si>
    <t>11.023.0</t>
  </si>
  <si>
    <t>Реализация дополнительногопрофессионального образования - повышения квалификации</t>
  </si>
  <si>
    <t>количество обучаемых</t>
  </si>
  <si>
    <t>Методическая работа</t>
  </si>
  <si>
    <t>Фактический материал</t>
  </si>
  <si>
    <t>Научно-практическая работа</t>
  </si>
  <si>
    <t>Время отведенное на исследование</t>
  </si>
  <si>
    <t>часов</t>
  </si>
  <si>
    <t>Работа по пропаганде знаний</t>
  </si>
  <si>
    <t>Время отведенное на разработку</t>
  </si>
  <si>
    <t>Организационная работа</t>
  </si>
  <si>
    <t>Время отведенное на работу</t>
  </si>
  <si>
    <t>по Государственному комитету по чрезвычайным ситуациям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</si>
</sst>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0.0"/>
    <numFmt numFmtId="166" formatCode="dd/mm/yy;@"/>
    <numFmt numFmtId="167" formatCode="#,##0.000"/>
    <numFmt numFmtId="168" formatCode="#,##0_ ;\-#,##0\ 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43" fontId="10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348">
    <xf numFmtId="0" fontId="0" fillId="0" borderId="0" xfId="0"/>
    <xf numFmtId="0" fontId="5" fillId="0" borderId="0" xfId="0" applyFont="1" applyFill="1" applyBorder="1" applyAlignment="1">
      <alignment horizontal="right"/>
    </xf>
    <xf numFmtId="0" fontId="2" fillId="0" borderId="0" xfId="0" applyFont="1" applyFill="1"/>
    <xf numFmtId="0" fontId="0" fillId="0" borderId="0" xfId="0" applyFill="1"/>
    <xf numFmtId="164" fontId="0" fillId="0" borderId="0" xfId="0" applyNumberFormat="1" applyFill="1"/>
    <xf numFmtId="3" fontId="0" fillId="0" borderId="0" xfId="0" applyNumberFormat="1" applyFill="1"/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3" fillId="0" borderId="13" xfId="1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wrapText="1"/>
    </xf>
    <xf numFmtId="0" fontId="3" fillId="0" borderId="1" xfId="1" applyFont="1" applyFill="1" applyBorder="1" applyAlignment="1" applyProtection="1">
      <alignment horizontal="left" wrapText="1"/>
      <protection locked="0"/>
    </xf>
    <xf numFmtId="0" fontId="3" fillId="0" borderId="1" xfId="1" applyFont="1" applyFill="1" applyBorder="1" applyAlignment="1" applyProtection="1">
      <alignment horizontal="center" wrapText="1"/>
      <protection locked="0"/>
    </xf>
    <xf numFmtId="0" fontId="3" fillId="0" borderId="1" xfId="1" applyFont="1" applyFill="1" applyBorder="1" applyAlignment="1" applyProtection="1">
      <alignment horizontal="center" vertical="justify"/>
      <protection locked="0"/>
    </xf>
    <xf numFmtId="0" fontId="14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64" fontId="15" fillId="0" borderId="0" xfId="0" applyNumberFormat="1" applyFont="1" applyFill="1"/>
    <xf numFmtId="4" fontId="3" fillId="0" borderId="0" xfId="1" applyNumberFormat="1" applyFont="1" applyFill="1" applyBorder="1" applyAlignment="1" applyProtection="1">
      <alignment horizontal="center"/>
      <protection locked="0"/>
    </xf>
    <xf numFmtId="0" fontId="3" fillId="0" borderId="1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1" applyFont="1" applyFill="1" applyBorder="1" applyAlignment="1" applyProtection="1">
      <alignment horizontal="center" vertical="center" wrapText="1"/>
      <protection locked="0"/>
    </xf>
    <xf numFmtId="43" fontId="2" fillId="0" borderId="13" xfId="3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3" fillId="0" borderId="1" xfId="3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1" applyFont="1" applyFill="1" applyBorder="1" applyAlignment="1" applyProtection="1">
      <alignment wrapText="1"/>
      <protection locked="0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8" fillId="0" borderId="0" xfId="0" applyFont="1" applyFill="1"/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3" fillId="0" borderId="13" xfId="1" applyNumberFormat="1" applyFont="1" applyFill="1" applyBorder="1" applyAlignment="1" applyProtection="1">
      <alignment horizontal="center" vertical="center"/>
      <protection locked="0"/>
    </xf>
    <xf numFmtId="164" fontId="3" fillId="2" borderId="13" xfId="1" applyNumberFormat="1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/>
      <protection locked="0"/>
    </xf>
    <xf numFmtId="0" fontId="20" fillId="0" borderId="0" xfId="0" applyFont="1"/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3" fillId="0" borderId="13" xfId="1" applyFont="1" applyFill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top" wrapText="1"/>
    </xf>
    <xf numFmtId="0" fontId="19" fillId="0" borderId="0" xfId="0" applyFont="1" applyAlignment="1">
      <alignment horizontal="justify" vertical="top" wrapText="1"/>
    </xf>
    <xf numFmtId="49" fontId="3" fillId="0" borderId="1" xfId="1" applyNumberFormat="1" applyFont="1" applyFill="1" applyBorder="1" applyAlignment="1" applyProtection="1">
      <alignment horizontal="justify" vertical="top" wrapText="1"/>
      <protection locked="0"/>
    </xf>
    <xf numFmtId="165" fontId="3" fillId="0" borderId="1" xfId="1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 wrapText="1"/>
    </xf>
    <xf numFmtId="49" fontId="2" fillId="0" borderId="0" xfId="0" applyNumberFormat="1" applyFont="1"/>
    <xf numFmtId="165" fontId="2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3" fillId="0" borderId="13" xfId="1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2" fontId="8" fillId="0" borderId="14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14" xfId="1" applyNumberFormat="1" applyFont="1" applyFill="1" applyBorder="1" applyAlignment="1" applyProtection="1">
      <alignment horizontal="center" vertical="center"/>
      <protection locked="0"/>
    </xf>
    <xf numFmtId="4" fontId="8" fillId="0" borderId="14" xfId="1" applyNumberFormat="1" applyFont="1" applyFill="1" applyBorder="1" applyAlignment="1" applyProtection="1">
      <alignment horizontal="center" vertical="center"/>
      <protection locked="0"/>
    </xf>
    <xf numFmtId="4" fontId="8" fillId="0" borderId="15" xfId="1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3" fontId="8" fillId="0" borderId="1" xfId="1" applyNumberFormat="1" applyFont="1" applyFill="1" applyBorder="1" applyAlignment="1" applyProtection="1">
      <alignment horizontal="center" vertical="center"/>
      <protection locked="0"/>
    </xf>
    <xf numFmtId="4" fontId="8" fillId="0" borderId="1" xfId="1" applyNumberFormat="1" applyFont="1" applyFill="1" applyBorder="1" applyAlignment="1" applyProtection="1">
      <alignment horizontal="center" vertical="center"/>
      <protection locked="0"/>
    </xf>
    <xf numFmtId="4" fontId="8" fillId="0" borderId="16" xfId="1" applyNumberFormat="1" applyFont="1" applyFill="1" applyBorder="1" applyAlignment="1" applyProtection="1">
      <alignment horizontal="center" vertical="center"/>
      <protection locked="0"/>
    </xf>
    <xf numFmtId="2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3" fontId="8" fillId="0" borderId="17" xfId="1" applyNumberFormat="1" applyFont="1" applyFill="1" applyBorder="1" applyAlignment="1" applyProtection="1">
      <alignment horizontal="center" vertical="center"/>
      <protection locked="0"/>
    </xf>
    <xf numFmtId="4" fontId="8" fillId="0" borderId="17" xfId="1" applyNumberFormat="1" applyFont="1" applyFill="1" applyBorder="1" applyAlignment="1" applyProtection="1">
      <alignment horizontal="center" vertical="center"/>
      <protection locked="0"/>
    </xf>
    <xf numFmtId="4" fontId="8" fillId="0" borderId="18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Fill="1" applyBorder="1" applyAlignment="1" applyProtection="1">
      <alignment horizontal="left" vertical="center" wrapText="1"/>
      <protection locked="0"/>
    </xf>
    <xf numFmtId="0" fontId="8" fillId="0" borderId="13" xfId="1" applyFont="1" applyFill="1" applyBorder="1" applyAlignment="1" applyProtection="1">
      <alignment horizontal="center" vertical="center" wrapText="1"/>
      <protection locked="0"/>
    </xf>
    <xf numFmtId="4" fontId="8" fillId="0" borderId="13" xfId="1" applyNumberFormat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left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8" fillId="0" borderId="14" xfId="1" applyFont="1" applyFill="1" applyBorder="1" applyAlignment="1" applyProtection="1">
      <alignment horizontal="left" vertical="center" wrapText="1"/>
      <protection locked="0"/>
    </xf>
    <xf numFmtId="0" fontId="8" fillId="0" borderId="14" xfId="1" applyFont="1" applyFill="1" applyBorder="1" applyAlignment="1" applyProtection="1">
      <alignment horizontal="center" vertical="center" wrapText="1"/>
      <protection locked="0"/>
    </xf>
    <xf numFmtId="0" fontId="8" fillId="0" borderId="14" xfId="1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17" xfId="1" applyFont="1" applyFill="1" applyBorder="1" applyAlignment="1" applyProtection="1">
      <alignment horizontal="left" vertical="center" wrapText="1"/>
      <protection locked="0"/>
    </xf>
    <xf numFmtId="0" fontId="8" fillId="0" borderId="17" xfId="1" applyFont="1" applyFill="1" applyBorder="1" applyAlignment="1" applyProtection="1">
      <alignment horizontal="center" vertical="center" wrapText="1"/>
      <protection locked="0"/>
    </xf>
    <xf numFmtId="0" fontId="8" fillId="0" borderId="17" xfId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Alignment="1" applyProtection="1">
      <alignment horizontal="left" vertical="center" wrapText="1"/>
      <protection locked="0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 applyProtection="1">
      <alignment horizontal="left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3" fontId="8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4" fontId="5" fillId="0" borderId="1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8" fillId="0" borderId="22" xfId="1" applyFont="1" applyFill="1" applyBorder="1" applyAlignment="1" applyProtection="1">
      <alignment horizontal="center" vertical="center"/>
      <protection locked="0"/>
    </xf>
    <xf numFmtId="166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7" fontId="5" fillId="0" borderId="0" xfId="0" applyNumberFormat="1" applyFont="1"/>
    <xf numFmtId="167" fontId="5" fillId="0" borderId="0" xfId="0" applyNumberFormat="1" applyFont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center"/>
    </xf>
    <xf numFmtId="0" fontId="8" fillId="0" borderId="16" xfId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>
      <alignment horizontal="center" vertical="center" wrapText="1"/>
    </xf>
    <xf numFmtId="4" fontId="8" fillId="0" borderId="23" xfId="1" applyNumberFormat="1" applyFont="1" applyFill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4" fontId="5" fillId="0" borderId="27" xfId="0" applyNumberFormat="1" applyFont="1" applyBorder="1" applyAlignment="1">
      <alignment horizontal="center" vertical="center"/>
    </xf>
    <xf numFmtId="4" fontId="5" fillId="0" borderId="28" xfId="0" applyNumberFormat="1" applyFont="1" applyBorder="1" applyAlignment="1">
      <alignment horizontal="right" vertical="center"/>
    </xf>
    <xf numFmtId="4" fontId="5" fillId="0" borderId="30" xfId="0" applyNumberFormat="1" applyFont="1" applyBorder="1" applyAlignment="1">
      <alignment horizontal="right" vertical="center"/>
    </xf>
    <xf numFmtId="4" fontId="5" fillId="0" borderId="29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top" wrapText="1"/>
    </xf>
    <xf numFmtId="4" fontId="5" fillId="0" borderId="34" xfId="0" applyNumberFormat="1" applyFont="1" applyBorder="1" applyAlignment="1">
      <alignment horizontal="center" vertical="center"/>
    </xf>
    <xf numFmtId="0" fontId="5" fillId="0" borderId="32" xfId="0" applyFont="1" applyBorder="1"/>
    <xf numFmtId="0" fontId="5" fillId="0" borderId="33" xfId="0" applyFont="1" applyBorder="1"/>
    <xf numFmtId="4" fontId="5" fillId="0" borderId="33" xfId="0" applyNumberFormat="1" applyFont="1" applyBorder="1" applyAlignment="1">
      <alignment horizontal="right" vertical="center"/>
    </xf>
    <xf numFmtId="4" fontId="5" fillId="0" borderId="3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1" applyFont="1" applyFill="1" applyBorder="1" applyAlignment="1" applyProtection="1">
      <alignment horizontal="center" vertical="center"/>
      <protection locked="0"/>
    </xf>
    <xf numFmtId="4" fontId="2" fillId="0" borderId="1" xfId="0" applyNumberFormat="1" applyFont="1" applyBorder="1" applyAlignment="1"/>
    <xf numFmtId="0" fontId="1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left" vertical="top" wrapText="1"/>
      <protection locked="0"/>
    </xf>
    <xf numFmtId="3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left" vertical="top" wrapText="1"/>
      <protection locked="0"/>
    </xf>
    <xf numFmtId="4" fontId="3" fillId="0" borderId="1" xfId="1" applyNumberFormat="1" applyFont="1" applyFill="1" applyBorder="1" applyAlignment="1" applyProtection="1">
      <alignment horizontal="center" vertical="center"/>
      <protection locked="0"/>
    </xf>
    <xf numFmtId="4" fontId="2" fillId="0" borderId="1" xfId="0" applyNumberFormat="1" applyFont="1" applyBorder="1"/>
    <xf numFmtId="4" fontId="3" fillId="0" borderId="1" xfId="1" applyNumberFormat="1" applyFont="1" applyFill="1" applyBorder="1" applyAlignment="1" applyProtection="1">
      <alignment vertical="justify"/>
      <protection locked="0"/>
    </xf>
    <xf numFmtId="4" fontId="14" fillId="0" borderId="1" xfId="0" applyNumberFormat="1" applyFont="1" applyBorder="1" applyAlignment="1">
      <alignment vertical="justify"/>
    </xf>
    <xf numFmtId="168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35" xfId="1" applyFont="1" applyFill="1" applyBorder="1" applyAlignment="1" applyProtection="1">
      <alignment horizontal="left" vertical="top" wrapText="1"/>
      <protection locked="0"/>
    </xf>
    <xf numFmtId="0" fontId="3" fillId="0" borderId="35" xfId="1" applyFont="1" applyFill="1" applyBorder="1" applyAlignment="1" applyProtection="1">
      <alignment horizontal="center" vertical="center" wrapText="1"/>
      <protection locked="0"/>
    </xf>
    <xf numFmtId="168" fontId="3" fillId="0" borderId="35" xfId="3" applyNumberFormat="1" applyFont="1" applyFill="1" applyBorder="1" applyAlignment="1" applyProtection="1">
      <alignment horizontal="center" vertical="center" wrapText="1"/>
      <protection locked="0"/>
    </xf>
    <xf numFmtId="4" fontId="14" fillId="0" borderId="35" xfId="0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left" vertical="top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168" fontId="3" fillId="0" borderId="0" xfId="3" applyNumberFormat="1" applyFont="1" applyFill="1" applyBorder="1" applyAlignment="1" applyProtection="1">
      <alignment horizontal="center" vertical="center" wrapText="1"/>
      <protection locked="0"/>
    </xf>
    <xf numFmtId="4" fontId="14" fillId="0" borderId="0" xfId="0" applyNumberFormat="1" applyFont="1" applyBorder="1" applyAlignment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 vertical="top" wrapText="1"/>
    </xf>
    <xf numFmtId="0" fontId="3" fillId="0" borderId="0" xfId="1" applyFont="1" applyFill="1" applyBorder="1" applyAlignment="1" applyProtection="1">
      <alignment horizontal="center" vertical="center"/>
      <protection locked="0"/>
    </xf>
    <xf numFmtId="3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1" applyFont="1" applyFill="1" applyBorder="1" applyAlignment="1" applyProtection="1">
      <alignment vertical="top" wrapText="1"/>
      <protection locked="0"/>
    </xf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3" fillId="0" borderId="0" xfId="1" applyFont="1" applyFill="1" applyBorder="1" applyAlignment="1" applyProtection="1">
      <alignment vertical="top" wrapText="1"/>
      <protection locked="0"/>
    </xf>
    <xf numFmtId="165" fontId="3" fillId="0" borderId="0" xfId="1" applyNumberFormat="1" applyFont="1" applyFill="1" applyBorder="1" applyAlignment="1" applyProtection="1">
      <alignment horizontal="center" vertical="center"/>
      <protection locked="0"/>
    </xf>
    <xf numFmtId="165" fontId="2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  <xf numFmtId="0" fontId="1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13" fillId="0" borderId="0" xfId="0" applyFont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3" fillId="0" borderId="2" xfId="1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3" fillId="0" borderId="13" xfId="1" applyFont="1" applyFill="1" applyBorder="1" applyAlignment="1" applyProtection="1">
      <alignment horizontal="center" vertical="center" wrapText="1"/>
      <protection locked="0"/>
    </xf>
    <xf numFmtId="4" fontId="3" fillId="0" borderId="2" xfId="1" applyNumberFormat="1" applyFont="1" applyFill="1" applyBorder="1" applyAlignment="1" applyProtection="1">
      <alignment horizontal="center" vertical="center"/>
      <protection locked="0"/>
    </xf>
    <xf numFmtId="4" fontId="3" fillId="0" borderId="13" xfId="1" applyNumberFormat="1" applyFont="1" applyFill="1" applyBorder="1" applyAlignment="1" applyProtection="1">
      <alignment horizontal="center" vertical="center"/>
      <protection locked="0"/>
    </xf>
    <xf numFmtId="4" fontId="2" fillId="0" borderId="2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top" wrapText="1"/>
      <protection locked="0"/>
    </xf>
    <xf numFmtId="168" fontId="3" fillId="0" borderId="1" xfId="4" applyNumberFormat="1" applyFont="1" applyFill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3" fillId="0" borderId="36" xfId="1" applyFont="1" applyFill="1" applyBorder="1" applyAlignment="1" applyProtection="1">
      <alignment horizontal="center" vertical="top" wrapText="1"/>
      <protection locked="0"/>
    </xf>
    <xf numFmtId="168" fontId="3" fillId="0" borderId="35" xfId="4" applyNumberFormat="1" applyFont="1" applyFill="1" applyBorder="1" applyAlignment="1" applyProtection="1">
      <alignment horizontal="center" vertical="center" wrapText="1"/>
      <protection locked="0"/>
    </xf>
    <xf numFmtId="164" fontId="14" fillId="0" borderId="35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_Лист1" xfId="1"/>
    <cellStyle name="Финансовый" xfId="3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5" sqref="A5"/>
    </sheetView>
  </sheetViews>
  <sheetFormatPr defaultRowHeight="15" x14ac:dyDescent="0.25"/>
  <cols>
    <col min="1" max="1" width="16" customWidth="1"/>
    <col min="2" max="2" width="34" customWidth="1"/>
    <col min="3" max="3" width="16" customWidth="1"/>
    <col min="4" max="4" width="15.5703125" customWidth="1"/>
    <col min="5" max="9" width="14.7109375" customWidth="1"/>
    <col min="10" max="10" width="14.28515625" customWidth="1"/>
  </cols>
  <sheetData>
    <row r="1" spans="1:10" ht="15.6" x14ac:dyDescent="0.3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50.25" customHeight="1" x14ac:dyDescent="0.25">
      <c r="A2" s="269" t="s">
        <v>11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0" ht="15.75" x14ac:dyDescent="0.25">
      <c r="A3" s="269" t="s">
        <v>243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x14ac:dyDescent="0.25">
      <c r="A4" s="273" t="s">
        <v>0</v>
      </c>
      <c r="B4" s="273"/>
      <c r="C4" s="273"/>
      <c r="D4" s="273"/>
      <c r="E4" s="273"/>
      <c r="F4" s="273"/>
      <c r="G4" s="273"/>
      <c r="H4" s="273"/>
      <c r="I4" s="273"/>
      <c r="J4" s="273"/>
    </row>
    <row r="5" spans="1:10" ht="14.45" x14ac:dyDescent="0.3">
      <c r="J5" s="12"/>
    </row>
    <row r="6" spans="1:10" ht="50.25" customHeight="1" x14ac:dyDescent="0.25">
      <c r="A6" s="274" t="s">
        <v>10</v>
      </c>
      <c r="B6" s="274" t="s">
        <v>6</v>
      </c>
      <c r="C6" s="276" t="s">
        <v>7</v>
      </c>
      <c r="D6" s="277"/>
      <c r="E6" s="276" t="s">
        <v>8</v>
      </c>
      <c r="F6" s="278"/>
      <c r="G6" s="277"/>
      <c r="H6" s="276" t="s">
        <v>9</v>
      </c>
      <c r="I6" s="278"/>
      <c r="J6" s="277"/>
    </row>
    <row r="7" spans="1:10" ht="47.25" x14ac:dyDescent="0.25">
      <c r="A7" s="275"/>
      <c r="B7" s="275"/>
      <c r="C7" s="6" t="s">
        <v>1</v>
      </c>
      <c r="D7" s="6" t="s">
        <v>2</v>
      </c>
      <c r="E7" s="13" t="s">
        <v>3</v>
      </c>
      <c r="F7" s="14" t="s">
        <v>4</v>
      </c>
      <c r="G7" s="14" t="s">
        <v>5</v>
      </c>
      <c r="H7" s="13" t="s">
        <v>3</v>
      </c>
      <c r="I7" s="14" t="s">
        <v>4</v>
      </c>
      <c r="J7" s="14" t="s">
        <v>5</v>
      </c>
    </row>
    <row r="8" spans="1:10" ht="142.5" customHeight="1" x14ac:dyDescent="0.25">
      <c r="A8" s="15" t="s">
        <v>244</v>
      </c>
      <c r="B8" s="16" t="s">
        <v>245</v>
      </c>
      <c r="C8" s="17" t="s">
        <v>246</v>
      </c>
      <c r="D8" s="17" t="s">
        <v>247</v>
      </c>
      <c r="E8" s="18">
        <v>109.3</v>
      </c>
      <c r="F8" s="18">
        <v>109.5</v>
      </c>
      <c r="G8" s="18">
        <v>109.5</v>
      </c>
      <c r="H8" s="239">
        <v>40800.5</v>
      </c>
      <c r="I8" s="239">
        <v>40800.5</v>
      </c>
      <c r="J8" s="240">
        <v>40800.5</v>
      </c>
    </row>
    <row r="10" spans="1:10" s="11" customFormat="1" ht="15.75" x14ac:dyDescent="0.25">
      <c r="A10" s="270"/>
      <c r="B10" s="270"/>
      <c r="C10" s="20" t="s">
        <v>3</v>
      </c>
      <c r="D10" s="20" t="s">
        <v>4</v>
      </c>
      <c r="E10" s="20" t="s">
        <v>5</v>
      </c>
    </row>
    <row r="11" spans="1:10" s="11" customFormat="1" ht="66" customHeight="1" x14ac:dyDescent="0.25">
      <c r="A11" s="271" t="s">
        <v>248</v>
      </c>
      <c r="B11" s="272"/>
      <c r="C11" s="229">
        <v>41813.199999999997</v>
      </c>
      <c r="D11" s="229">
        <v>41813.199999999997</v>
      </c>
      <c r="E11" s="229">
        <v>41813.199999999997</v>
      </c>
    </row>
    <row r="12" spans="1:10" s="11" customFormat="1" ht="15.75" x14ac:dyDescent="0.25">
      <c r="A12" s="21"/>
    </row>
  </sheetData>
  <mergeCells count="10">
    <mergeCell ref="A2:J2"/>
    <mergeCell ref="A10:B10"/>
    <mergeCell ref="A11:B11"/>
    <mergeCell ref="A3:J3"/>
    <mergeCell ref="A4:J4"/>
    <mergeCell ref="A6:A7"/>
    <mergeCell ref="B6:B7"/>
    <mergeCell ref="C6:D6"/>
    <mergeCell ref="E6:G6"/>
    <mergeCell ref="H6:J6"/>
  </mergeCells>
  <pageMargins left="0.7" right="0.7" top="0.75" bottom="0.75" header="0.3" footer="0.3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7"/>
  <sheetViews>
    <sheetView view="pageBreakPreview" zoomScale="85" zoomScaleNormal="100" zoomScaleSheetLayoutView="85" workbookViewId="0">
      <selection activeCell="A5" sqref="A5"/>
    </sheetView>
  </sheetViews>
  <sheetFormatPr defaultRowHeight="15" x14ac:dyDescent="0.25"/>
  <cols>
    <col min="1" max="1" width="9.5703125" customWidth="1"/>
    <col min="2" max="2" width="38.42578125" customWidth="1"/>
    <col min="3" max="3" width="20.42578125" customWidth="1"/>
    <col min="4" max="4" width="15.5703125" customWidth="1"/>
    <col min="5" max="6" width="14.28515625" customWidth="1"/>
    <col min="7" max="9" width="14.7109375" customWidth="1"/>
    <col min="10" max="10" width="14.28515625" customWidth="1"/>
    <col min="11" max="11" width="8.85546875" customWidth="1"/>
  </cols>
  <sheetData>
    <row r="1" spans="1:1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1" ht="50.2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4" spans="1:11" ht="15.75" x14ac:dyDescent="0.25">
      <c r="A4" s="282" t="s">
        <v>768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</row>
    <row r="5" spans="1:11" x14ac:dyDescent="0.25">
      <c r="K5" s="1"/>
    </row>
    <row r="6" spans="1:11" ht="50.25" customHeight="1" x14ac:dyDescent="0.25">
      <c r="A6" s="283" t="s">
        <v>10</v>
      </c>
      <c r="B6" s="283" t="s">
        <v>6</v>
      </c>
      <c r="C6" s="285" t="s">
        <v>769</v>
      </c>
      <c r="D6" s="286"/>
      <c r="E6" s="285" t="s">
        <v>770</v>
      </c>
      <c r="F6" s="287"/>
      <c r="G6" s="286"/>
      <c r="H6" s="285" t="s">
        <v>771</v>
      </c>
      <c r="I6" s="287"/>
      <c r="J6" s="286"/>
    </row>
    <row r="7" spans="1:11" ht="47.25" x14ac:dyDescent="0.25">
      <c r="A7" s="284"/>
      <c r="B7" s="284"/>
      <c r="C7" s="6" t="s">
        <v>1</v>
      </c>
      <c r="D7" s="6" t="s">
        <v>2</v>
      </c>
      <c r="E7" s="227" t="s">
        <v>3</v>
      </c>
      <c r="F7" s="228" t="s">
        <v>4</v>
      </c>
      <c r="G7" s="228" t="s">
        <v>5</v>
      </c>
      <c r="H7" s="227" t="s">
        <v>3</v>
      </c>
      <c r="I7" s="228" t="s">
        <v>4</v>
      </c>
      <c r="J7" s="228" t="s">
        <v>5</v>
      </c>
    </row>
    <row r="8" spans="1:11" ht="34.9" customHeight="1" x14ac:dyDescent="0.25">
      <c r="A8" s="279" t="s">
        <v>772</v>
      </c>
      <c r="B8" s="279" t="s">
        <v>773</v>
      </c>
      <c r="C8" s="6" t="s">
        <v>774</v>
      </c>
      <c r="D8" s="6" t="s">
        <v>326</v>
      </c>
      <c r="E8" s="241">
        <v>455120</v>
      </c>
      <c r="F8" s="241">
        <v>455120</v>
      </c>
      <c r="G8" s="241">
        <v>455120</v>
      </c>
      <c r="H8" s="235">
        <v>28804.400000000001</v>
      </c>
      <c r="I8" s="235">
        <v>28825.8</v>
      </c>
      <c r="J8" s="235">
        <v>28825.8</v>
      </c>
    </row>
    <row r="9" spans="1:11" ht="33" customHeight="1" x14ac:dyDescent="0.25">
      <c r="A9" s="280"/>
      <c r="B9" s="280"/>
      <c r="C9" s="6" t="s">
        <v>775</v>
      </c>
      <c r="D9" s="6" t="s">
        <v>326</v>
      </c>
      <c r="E9" s="241">
        <v>968094</v>
      </c>
      <c r="F9" s="241">
        <v>968094</v>
      </c>
      <c r="G9" s="241">
        <v>968094</v>
      </c>
      <c r="H9" s="235">
        <v>40326.1</v>
      </c>
      <c r="I9" s="235">
        <v>40356.1</v>
      </c>
      <c r="J9" s="235">
        <v>40356.1</v>
      </c>
    </row>
    <row r="10" spans="1:11" ht="36" customHeight="1" x14ac:dyDescent="0.25">
      <c r="A10" s="280"/>
      <c r="B10" s="280"/>
      <c r="C10" s="6" t="s">
        <v>313</v>
      </c>
      <c r="D10" s="6" t="s">
        <v>326</v>
      </c>
      <c r="E10" s="241">
        <v>250000</v>
      </c>
      <c r="F10" s="241">
        <v>250000</v>
      </c>
      <c r="G10" s="241">
        <v>250000</v>
      </c>
      <c r="H10" s="235">
        <v>23043.5</v>
      </c>
      <c r="I10" s="235">
        <v>23060.6</v>
      </c>
      <c r="J10" s="235">
        <v>23060.6</v>
      </c>
    </row>
    <row r="11" spans="1:11" ht="30" customHeight="1" x14ac:dyDescent="0.25">
      <c r="A11" s="281"/>
      <c r="B11" s="281"/>
      <c r="C11" s="6" t="s">
        <v>776</v>
      </c>
      <c r="D11" s="6" t="s">
        <v>226</v>
      </c>
      <c r="E11" s="241">
        <v>23</v>
      </c>
      <c r="F11" s="241">
        <v>23</v>
      </c>
      <c r="G11" s="241">
        <v>23</v>
      </c>
      <c r="H11" s="235">
        <v>23043.5</v>
      </c>
      <c r="I11" s="235">
        <v>23060.6</v>
      </c>
      <c r="J11" s="235">
        <v>23060.6</v>
      </c>
    </row>
    <row r="12" spans="1:11" ht="31.5" x14ac:dyDescent="0.25">
      <c r="A12" s="233" t="s">
        <v>777</v>
      </c>
      <c r="B12" s="233" t="s">
        <v>778</v>
      </c>
      <c r="C12" s="6" t="s">
        <v>776</v>
      </c>
      <c r="D12" s="6" t="s">
        <v>226</v>
      </c>
      <c r="E12" s="241">
        <v>1433744</v>
      </c>
      <c r="F12" s="241">
        <v>1433744</v>
      </c>
      <c r="G12" s="241">
        <v>1433744</v>
      </c>
      <c r="H12" s="235">
        <v>28804.400000000001</v>
      </c>
      <c r="I12" s="235">
        <v>28825.8</v>
      </c>
      <c r="J12" s="235">
        <v>28825.8</v>
      </c>
    </row>
    <row r="13" spans="1:11" ht="63" x14ac:dyDescent="0.25">
      <c r="A13" s="233" t="s">
        <v>779</v>
      </c>
      <c r="B13" s="233" t="s">
        <v>780</v>
      </c>
      <c r="C13" s="6" t="s">
        <v>313</v>
      </c>
      <c r="D13" s="6" t="s">
        <v>326</v>
      </c>
      <c r="E13" s="241">
        <v>205915</v>
      </c>
      <c r="F13" s="241">
        <v>205915</v>
      </c>
      <c r="G13" s="241">
        <v>205915</v>
      </c>
      <c r="H13" s="235">
        <v>48007.200000000004</v>
      </c>
      <c r="I13" s="235">
        <v>48042.9</v>
      </c>
      <c r="J13" s="235">
        <v>48042.9</v>
      </c>
    </row>
    <row r="14" spans="1:11" ht="15.75" x14ac:dyDescent="0.25">
      <c r="A14" s="242"/>
      <c r="B14" s="242"/>
      <c r="C14" s="243"/>
      <c r="D14" s="243"/>
      <c r="E14" s="244"/>
      <c r="F14" s="244"/>
      <c r="G14" s="244"/>
      <c r="H14" s="245"/>
      <c r="I14" s="245"/>
      <c r="J14" s="245"/>
    </row>
    <row r="15" spans="1:11" s="11" customFormat="1" ht="15.75" x14ac:dyDescent="0.25">
      <c r="A15" s="270"/>
      <c r="B15" s="270"/>
      <c r="C15" s="224" t="s">
        <v>3</v>
      </c>
      <c r="D15" s="224" t="s">
        <v>4</v>
      </c>
      <c r="E15" s="224" t="s">
        <v>5</v>
      </c>
    </row>
    <row r="16" spans="1:11" s="11" customFormat="1" ht="66" customHeight="1" x14ac:dyDescent="0.25">
      <c r="A16" s="271" t="s">
        <v>248</v>
      </c>
      <c r="B16" s="272"/>
      <c r="C16" s="238">
        <v>192029.1</v>
      </c>
      <c r="D16" s="238">
        <v>192171.8</v>
      </c>
      <c r="E16" s="238">
        <v>192171.8</v>
      </c>
    </row>
    <row r="17" spans="1:10" ht="15.75" x14ac:dyDescent="0.25">
      <c r="A17" s="246"/>
      <c r="B17" s="246"/>
      <c r="C17" s="247"/>
      <c r="D17" s="247"/>
      <c r="E17" s="248"/>
      <c r="F17" s="248"/>
      <c r="G17" s="248"/>
      <c r="H17" s="249"/>
      <c r="I17" s="249"/>
      <c r="J17" s="249"/>
    </row>
  </sheetData>
  <mergeCells count="11">
    <mergeCell ref="A8:A11"/>
    <mergeCell ref="B8:B11"/>
    <mergeCell ref="A15:B15"/>
    <mergeCell ref="A16:B16"/>
    <mergeCell ref="A2:J2"/>
    <mergeCell ref="A4:K4"/>
    <mergeCell ref="A6:A7"/>
    <mergeCell ref="B6:B7"/>
    <mergeCell ref="C6:D6"/>
    <mergeCell ref="E6:G6"/>
    <mergeCell ref="H6:J6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zoomScaleNormal="100" workbookViewId="0">
      <selection activeCell="A5" sqref="A5"/>
    </sheetView>
  </sheetViews>
  <sheetFormatPr defaultRowHeight="15" x14ac:dyDescent="0.25"/>
  <cols>
    <col min="1" max="1" width="19.85546875" customWidth="1"/>
    <col min="2" max="2" width="26.28515625" customWidth="1"/>
    <col min="3" max="3" width="14.7109375" customWidth="1"/>
    <col min="4" max="4" width="13.85546875" customWidth="1"/>
    <col min="5" max="5" width="14" customWidth="1"/>
    <col min="6" max="9" width="14.7109375" customWidth="1"/>
    <col min="10" max="10" width="14.28515625" customWidth="1"/>
  </cols>
  <sheetData>
    <row r="1" spans="1:10" ht="15.6" x14ac:dyDescent="0.3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57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ht="15.75" x14ac:dyDescent="0.25">
      <c r="A3" s="282" t="s">
        <v>318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0" x14ac:dyDescent="0.25">
      <c r="A4" s="296" t="s">
        <v>0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0" ht="14.45" x14ac:dyDescent="0.3">
      <c r="J5" s="1"/>
    </row>
    <row r="6" spans="1:10" ht="50.25" customHeight="1" x14ac:dyDescent="0.25">
      <c r="A6" s="283" t="s">
        <v>10</v>
      </c>
      <c r="B6" s="283" t="s">
        <v>6</v>
      </c>
      <c r="C6" s="288" t="s">
        <v>7</v>
      </c>
      <c r="D6" s="289"/>
      <c r="E6" s="288" t="s">
        <v>8</v>
      </c>
      <c r="F6" s="297"/>
      <c r="G6" s="289"/>
      <c r="H6" s="288" t="s">
        <v>9</v>
      </c>
      <c r="I6" s="297"/>
      <c r="J6" s="289"/>
    </row>
    <row r="7" spans="1:10" ht="47.25" x14ac:dyDescent="0.25">
      <c r="A7" s="284"/>
      <c r="B7" s="284"/>
      <c r="C7" s="6" t="s">
        <v>1</v>
      </c>
      <c r="D7" s="6" t="s">
        <v>2</v>
      </c>
      <c r="E7" s="80" t="s">
        <v>3</v>
      </c>
      <c r="F7" s="14" t="s">
        <v>4</v>
      </c>
      <c r="G7" s="14" t="s">
        <v>5</v>
      </c>
      <c r="H7" s="80" t="s">
        <v>3</v>
      </c>
      <c r="I7" s="14" t="s">
        <v>4</v>
      </c>
      <c r="J7" s="14" t="s">
        <v>5</v>
      </c>
    </row>
    <row r="8" spans="1:10" ht="42" customHeight="1" x14ac:dyDescent="0.25">
      <c r="A8" s="283" t="s">
        <v>319</v>
      </c>
      <c r="B8" s="290" t="s">
        <v>320</v>
      </c>
      <c r="C8" s="17" t="s">
        <v>322</v>
      </c>
      <c r="D8" s="17" t="s">
        <v>226</v>
      </c>
      <c r="E8" s="81">
        <v>624</v>
      </c>
      <c r="F8" s="81">
        <v>624</v>
      </c>
      <c r="G8" s="81">
        <v>624</v>
      </c>
      <c r="H8" s="292">
        <v>1696.5</v>
      </c>
      <c r="I8" s="292">
        <v>1696.5</v>
      </c>
      <c r="J8" s="294">
        <v>1696.5</v>
      </c>
    </row>
    <row r="9" spans="1:10" ht="15.75" x14ac:dyDescent="0.25">
      <c r="A9" s="284"/>
      <c r="B9" s="291"/>
      <c r="C9" s="7" t="s">
        <v>321</v>
      </c>
      <c r="D9" s="17" t="s">
        <v>226</v>
      </c>
      <c r="E9" s="81">
        <v>96192</v>
      </c>
      <c r="F9" s="81">
        <v>96192</v>
      </c>
      <c r="G9" s="81">
        <v>96192</v>
      </c>
      <c r="H9" s="293"/>
      <c r="I9" s="293"/>
      <c r="J9" s="295"/>
    </row>
    <row r="12" spans="1:10" s="82" customFormat="1" ht="16.5" x14ac:dyDescent="0.25">
      <c r="A12" s="270"/>
      <c r="B12" s="270"/>
      <c r="C12" s="79" t="s">
        <v>3</v>
      </c>
      <c r="D12" s="79" t="s">
        <v>4</v>
      </c>
      <c r="E12" s="79" t="s">
        <v>5</v>
      </c>
    </row>
    <row r="13" spans="1:10" s="82" customFormat="1" ht="71.25" customHeight="1" x14ac:dyDescent="0.25">
      <c r="A13" s="271" t="s">
        <v>248</v>
      </c>
      <c r="B13" s="272"/>
      <c r="C13" s="238">
        <v>1696.5</v>
      </c>
      <c r="D13" s="238">
        <v>1696.5</v>
      </c>
      <c r="E13" s="238">
        <v>1696.5</v>
      </c>
    </row>
  </sheetData>
  <mergeCells count="15">
    <mergeCell ref="H8:H9"/>
    <mergeCell ref="I8:I9"/>
    <mergeCell ref="J8:J9"/>
    <mergeCell ref="A2:J2"/>
    <mergeCell ref="A3:J3"/>
    <mergeCell ref="A4:J4"/>
    <mergeCell ref="E6:G6"/>
    <mergeCell ref="H6:J6"/>
    <mergeCell ref="A12:B12"/>
    <mergeCell ref="A13:B13"/>
    <mergeCell ref="A6:A7"/>
    <mergeCell ref="B6:B7"/>
    <mergeCell ref="C6:D6"/>
    <mergeCell ref="A8:A9"/>
    <mergeCell ref="B8:B9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6"/>
  <sheetViews>
    <sheetView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9.5703125" customWidth="1"/>
    <col min="2" max="2" width="38.42578125" customWidth="1"/>
    <col min="3" max="3" width="23.28515625" customWidth="1"/>
    <col min="4" max="4" width="15.5703125" customWidth="1"/>
    <col min="5" max="6" width="14.28515625" customWidth="1"/>
    <col min="7" max="9" width="14.7109375" customWidth="1"/>
    <col min="10" max="10" width="14.28515625" customWidth="1"/>
    <col min="11" max="11" width="8.85546875" customWidth="1"/>
    <col min="257" max="257" width="9.5703125" customWidth="1"/>
    <col min="258" max="258" width="38.42578125" customWidth="1"/>
    <col min="259" max="259" width="23.28515625" customWidth="1"/>
    <col min="260" max="260" width="15.5703125" customWidth="1"/>
    <col min="261" max="262" width="14.28515625" customWidth="1"/>
    <col min="263" max="265" width="14.7109375" customWidth="1"/>
    <col min="266" max="266" width="14.28515625" customWidth="1"/>
    <col min="267" max="267" width="8.85546875" customWidth="1"/>
    <col min="513" max="513" width="9.5703125" customWidth="1"/>
    <col min="514" max="514" width="38.42578125" customWidth="1"/>
    <col min="515" max="515" width="23.28515625" customWidth="1"/>
    <col min="516" max="516" width="15.5703125" customWidth="1"/>
    <col min="517" max="518" width="14.28515625" customWidth="1"/>
    <col min="519" max="521" width="14.7109375" customWidth="1"/>
    <col min="522" max="522" width="14.28515625" customWidth="1"/>
    <col min="523" max="523" width="8.85546875" customWidth="1"/>
    <col min="769" max="769" width="9.5703125" customWidth="1"/>
    <col min="770" max="770" width="38.42578125" customWidth="1"/>
    <col min="771" max="771" width="23.28515625" customWidth="1"/>
    <col min="772" max="772" width="15.5703125" customWidth="1"/>
    <col min="773" max="774" width="14.28515625" customWidth="1"/>
    <col min="775" max="777" width="14.7109375" customWidth="1"/>
    <col min="778" max="778" width="14.28515625" customWidth="1"/>
    <col min="779" max="779" width="8.85546875" customWidth="1"/>
    <col min="1025" max="1025" width="9.5703125" customWidth="1"/>
    <col min="1026" max="1026" width="38.42578125" customWidth="1"/>
    <col min="1027" max="1027" width="23.28515625" customWidth="1"/>
    <col min="1028" max="1028" width="15.5703125" customWidth="1"/>
    <col min="1029" max="1030" width="14.28515625" customWidth="1"/>
    <col min="1031" max="1033" width="14.7109375" customWidth="1"/>
    <col min="1034" max="1034" width="14.28515625" customWidth="1"/>
    <col min="1035" max="1035" width="8.85546875" customWidth="1"/>
    <col min="1281" max="1281" width="9.5703125" customWidth="1"/>
    <col min="1282" max="1282" width="38.42578125" customWidth="1"/>
    <col min="1283" max="1283" width="23.28515625" customWidth="1"/>
    <col min="1284" max="1284" width="15.5703125" customWidth="1"/>
    <col min="1285" max="1286" width="14.28515625" customWidth="1"/>
    <col min="1287" max="1289" width="14.7109375" customWidth="1"/>
    <col min="1290" max="1290" width="14.28515625" customWidth="1"/>
    <col min="1291" max="1291" width="8.85546875" customWidth="1"/>
    <col min="1537" max="1537" width="9.5703125" customWidth="1"/>
    <col min="1538" max="1538" width="38.42578125" customWidth="1"/>
    <col min="1539" max="1539" width="23.28515625" customWidth="1"/>
    <col min="1540" max="1540" width="15.5703125" customWidth="1"/>
    <col min="1541" max="1542" width="14.28515625" customWidth="1"/>
    <col min="1543" max="1545" width="14.7109375" customWidth="1"/>
    <col min="1546" max="1546" width="14.28515625" customWidth="1"/>
    <col min="1547" max="1547" width="8.85546875" customWidth="1"/>
    <col min="1793" max="1793" width="9.5703125" customWidth="1"/>
    <col min="1794" max="1794" width="38.42578125" customWidth="1"/>
    <col min="1795" max="1795" width="23.28515625" customWidth="1"/>
    <col min="1796" max="1796" width="15.5703125" customWidth="1"/>
    <col min="1797" max="1798" width="14.28515625" customWidth="1"/>
    <col min="1799" max="1801" width="14.7109375" customWidth="1"/>
    <col min="1802" max="1802" width="14.28515625" customWidth="1"/>
    <col min="1803" max="1803" width="8.85546875" customWidth="1"/>
    <col min="2049" max="2049" width="9.5703125" customWidth="1"/>
    <col min="2050" max="2050" width="38.42578125" customWidth="1"/>
    <col min="2051" max="2051" width="23.28515625" customWidth="1"/>
    <col min="2052" max="2052" width="15.5703125" customWidth="1"/>
    <col min="2053" max="2054" width="14.28515625" customWidth="1"/>
    <col min="2055" max="2057" width="14.7109375" customWidth="1"/>
    <col min="2058" max="2058" width="14.28515625" customWidth="1"/>
    <col min="2059" max="2059" width="8.85546875" customWidth="1"/>
    <col min="2305" max="2305" width="9.5703125" customWidth="1"/>
    <col min="2306" max="2306" width="38.42578125" customWidth="1"/>
    <col min="2307" max="2307" width="23.28515625" customWidth="1"/>
    <col min="2308" max="2308" width="15.5703125" customWidth="1"/>
    <col min="2309" max="2310" width="14.28515625" customWidth="1"/>
    <col min="2311" max="2313" width="14.7109375" customWidth="1"/>
    <col min="2314" max="2314" width="14.28515625" customWidth="1"/>
    <col min="2315" max="2315" width="8.85546875" customWidth="1"/>
    <col min="2561" max="2561" width="9.5703125" customWidth="1"/>
    <col min="2562" max="2562" width="38.42578125" customWidth="1"/>
    <col min="2563" max="2563" width="23.28515625" customWidth="1"/>
    <col min="2564" max="2564" width="15.5703125" customWidth="1"/>
    <col min="2565" max="2566" width="14.28515625" customWidth="1"/>
    <col min="2567" max="2569" width="14.7109375" customWidth="1"/>
    <col min="2570" max="2570" width="14.28515625" customWidth="1"/>
    <col min="2571" max="2571" width="8.85546875" customWidth="1"/>
    <col min="2817" max="2817" width="9.5703125" customWidth="1"/>
    <col min="2818" max="2818" width="38.42578125" customWidth="1"/>
    <col min="2819" max="2819" width="23.28515625" customWidth="1"/>
    <col min="2820" max="2820" width="15.5703125" customWidth="1"/>
    <col min="2821" max="2822" width="14.28515625" customWidth="1"/>
    <col min="2823" max="2825" width="14.7109375" customWidth="1"/>
    <col min="2826" max="2826" width="14.28515625" customWidth="1"/>
    <col min="2827" max="2827" width="8.85546875" customWidth="1"/>
    <col min="3073" max="3073" width="9.5703125" customWidth="1"/>
    <col min="3074" max="3074" width="38.42578125" customWidth="1"/>
    <col min="3075" max="3075" width="23.28515625" customWidth="1"/>
    <col min="3076" max="3076" width="15.5703125" customWidth="1"/>
    <col min="3077" max="3078" width="14.28515625" customWidth="1"/>
    <col min="3079" max="3081" width="14.7109375" customWidth="1"/>
    <col min="3082" max="3082" width="14.28515625" customWidth="1"/>
    <col min="3083" max="3083" width="8.85546875" customWidth="1"/>
    <col min="3329" max="3329" width="9.5703125" customWidth="1"/>
    <col min="3330" max="3330" width="38.42578125" customWidth="1"/>
    <col min="3331" max="3331" width="23.28515625" customWidth="1"/>
    <col min="3332" max="3332" width="15.5703125" customWidth="1"/>
    <col min="3333" max="3334" width="14.28515625" customWidth="1"/>
    <col min="3335" max="3337" width="14.7109375" customWidth="1"/>
    <col min="3338" max="3338" width="14.28515625" customWidth="1"/>
    <col min="3339" max="3339" width="8.85546875" customWidth="1"/>
    <col min="3585" max="3585" width="9.5703125" customWidth="1"/>
    <col min="3586" max="3586" width="38.42578125" customWidth="1"/>
    <col min="3587" max="3587" width="23.28515625" customWidth="1"/>
    <col min="3588" max="3588" width="15.5703125" customWidth="1"/>
    <col min="3589" max="3590" width="14.28515625" customWidth="1"/>
    <col min="3591" max="3593" width="14.7109375" customWidth="1"/>
    <col min="3594" max="3594" width="14.28515625" customWidth="1"/>
    <col min="3595" max="3595" width="8.85546875" customWidth="1"/>
    <col min="3841" max="3841" width="9.5703125" customWidth="1"/>
    <col min="3842" max="3842" width="38.42578125" customWidth="1"/>
    <col min="3843" max="3843" width="23.28515625" customWidth="1"/>
    <col min="3844" max="3844" width="15.5703125" customWidth="1"/>
    <col min="3845" max="3846" width="14.28515625" customWidth="1"/>
    <col min="3847" max="3849" width="14.7109375" customWidth="1"/>
    <col min="3850" max="3850" width="14.28515625" customWidth="1"/>
    <col min="3851" max="3851" width="8.85546875" customWidth="1"/>
    <col min="4097" max="4097" width="9.5703125" customWidth="1"/>
    <col min="4098" max="4098" width="38.42578125" customWidth="1"/>
    <col min="4099" max="4099" width="23.28515625" customWidth="1"/>
    <col min="4100" max="4100" width="15.5703125" customWidth="1"/>
    <col min="4101" max="4102" width="14.28515625" customWidth="1"/>
    <col min="4103" max="4105" width="14.7109375" customWidth="1"/>
    <col min="4106" max="4106" width="14.28515625" customWidth="1"/>
    <col min="4107" max="4107" width="8.85546875" customWidth="1"/>
    <col min="4353" max="4353" width="9.5703125" customWidth="1"/>
    <col min="4354" max="4354" width="38.42578125" customWidth="1"/>
    <col min="4355" max="4355" width="23.28515625" customWidth="1"/>
    <col min="4356" max="4356" width="15.5703125" customWidth="1"/>
    <col min="4357" max="4358" width="14.28515625" customWidth="1"/>
    <col min="4359" max="4361" width="14.7109375" customWidth="1"/>
    <col min="4362" max="4362" width="14.28515625" customWidth="1"/>
    <col min="4363" max="4363" width="8.85546875" customWidth="1"/>
    <col min="4609" max="4609" width="9.5703125" customWidth="1"/>
    <col min="4610" max="4610" width="38.42578125" customWidth="1"/>
    <col min="4611" max="4611" width="23.28515625" customWidth="1"/>
    <col min="4612" max="4612" width="15.5703125" customWidth="1"/>
    <col min="4613" max="4614" width="14.28515625" customWidth="1"/>
    <col min="4615" max="4617" width="14.7109375" customWidth="1"/>
    <col min="4618" max="4618" width="14.28515625" customWidth="1"/>
    <col min="4619" max="4619" width="8.85546875" customWidth="1"/>
    <col min="4865" max="4865" width="9.5703125" customWidth="1"/>
    <col min="4866" max="4866" width="38.42578125" customWidth="1"/>
    <col min="4867" max="4867" width="23.28515625" customWidth="1"/>
    <col min="4868" max="4868" width="15.5703125" customWidth="1"/>
    <col min="4869" max="4870" width="14.28515625" customWidth="1"/>
    <col min="4871" max="4873" width="14.7109375" customWidth="1"/>
    <col min="4874" max="4874" width="14.28515625" customWidth="1"/>
    <col min="4875" max="4875" width="8.85546875" customWidth="1"/>
    <col min="5121" max="5121" width="9.5703125" customWidth="1"/>
    <col min="5122" max="5122" width="38.42578125" customWidth="1"/>
    <col min="5123" max="5123" width="23.28515625" customWidth="1"/>
    <col min="5124" max="5124" width="15.5703125" customWidth="1"/>
    <col min="5125" max="5126" width="14.28515625" customWidth="1"/>
    <col min="5127" max="5129" width="14.7109375" customWidth="1"/>
    <col min="5130" max="5130" width="14.28515625" customWidth="1"/>
    <col min="5131" max="5131" width="8.85546875" customWidth="1"/>
    <col min="5377" max="5377" width="9.5703125" customWidth="1"/>
    <col min="5378" max="5378" width="38.42578125" customWidth="1"/>
    <col min="5379" max="5379" width="23.28515625" customWidth="1"/>
    <col min="5380" max="5380" width="15.5703125" customWidth="1"/>
    <col min="5381" max="5382" width="14.28515625" customWidth="1"/>
    <col min="5383" max="5385" width="14.7109375" customWidth="1"/>
    <col min="5386" max="5386" width="14.28515625" customWidth="1"/>
    <col min="5387" max="5387" width="8.85546875" customWidth="1"/>
    <col min="5633" max="5633" width="9.5703125" customWidth="1"/>
    <col min="5634" max="5634" width="38.42578125" customWidth="1"/>
    <col min="5635" max="5635" width="23.28515625" customWidth="1"/>
    <col min="5636" max="5636" width="15.5703125" customWidth="1"/>
    <col min="5637" max="5638" width="14.28515625" customWidth="1"/>
    <col min="5639" max="5641" width="14.7109375" customWidth="1"/>
    <col min="5642" max="5642" width="14.28515625" customWidth="1"/>
    <col min="5643" max="5643" width="8.85546875" customWidth="1"/>
    <col min="5889" max="5889" width="9.5703125" customWidth="1"/>
    <col min="5890" max="5890" width="38.42578125" customWidth="1"/>
    <col min="5891" max="5891" width="23.28515625" customWidth="1"/>
    <col min="5892" max="5892" width="15.5703125" customWidth="1"/>
    <col min="5893" max="5894" width="14.28515625" customWidth="1"/>
    <col min="5895" max="5897" width="14.7109375" customWidth="1"/>
    <col min="5898" max="5898" width="14.28515625" customWidth="1"/>
    <col min="5899" max="5899" width="8.85546875" customWidth="1"/>
    <col min="6145" max="6145" width="9.5703125" customWidth="1"/>
    <col min="6146" max="6146" width="38.42578125" customWidth="1"/>
    <col min="6147" max="6147" width="23.28515625" customWidth="1"/>
    <col min="6148" max="6148" width="15.5703125" customWidth="1"/>
    <col min="6149" max="6150" width="14.28515625" customWidth="1"/>
    <col min="6151" max="6153" width="14.7109375" customWidth="1"/>
    <col min="6154" max="6154" width="14.28515625" customWidth="1"/>
    <col min="6155" max="6155" width="8.85546875" customWidth="1"/>
    <col min="6401" max="6401" width="9.5703125" customWidth="1"/>
    <col min="6402" max="6402" width="38.42578125" customWidth="1"/>
    <col min="6403" max="6403" width="23.28515625" customWidth="1"/>
    <col min="6404" max="6404" width="15.5703125" customWidth="1"/>
    <col min="6405" max="6406" width="14.28515625" customWidth="1"/>
    <col min="6407" max="6409" width="14.7109375" customWidth="1"/>
    <col min="6410" max="6410" width="14.28515625" customWidth="1"/>
    <col min="6411" max="6411" width="8.85546875" customWidth="1"/>
    <col min="6657" max="6657" width="9.5703125" customWidth="1"/>
    <col min="6658" max="6658" width="38.42578125" customWidth="1"/>
    <col min="6659" max="6659" width="23.28515625" customWidth="1"/>
    <col min="6660" max="6660" width="15.5703125" customWidth="1"/>
    <col min="6661" max="6662" width="14.28515625" customWidth="1"/>
    <col min="6663" max="6665" width="14.7109375" customWidth="1"/>
    <col min="6666" max="6666" width="14.28515625" customWidth="1"/>
    <col min="6667" max="6667" width="8.85546875" customWidth="1"/>
    <col min="6913" max="6913" width="9.5703125" customWidth="1"/>
    <col min="6914" max="6914" width="38.42578125" customWidth="1"/>
    <col min="6915" max="6915" width="23.28515625" customWidth="1"/>
    <col min="6916" max="6916" width="15.5703125" customWidth="1"/>
    <col min="6917" max="6918" width="14.28515625" customWidth="1"/>
    <col min="6919" max="6921" width="14.7109375" customWidth="1"/>
    <col min="6922" max="6922" width="14.28515625" customWidth="1"/>
    <col min="6923" max="6923" width="8.85546875" customWidth="1"/>
    <col min="7169" max="7169" width="9.5703125" customWidth="1"/>
    <col min="7170" max="7170" width="38.42578125" customWidth="1"/>
    <col min="7171" max="7171" width="23.28515625" customWidth="1"/>
    <col min="7172" max="7172" width="15.5703125" customWidth="1"/>
    <col min="7173" max="7174" width="14.28515625" customWidth="1"/>
    <col min="7175" max="7177" width="14.7109375" customWidth="1"/>
    <col min="7178" max="7178" width="14.28515625" customWidth="1"/>
    <col min="7179" max="7179" width="8.85546875" customWidth="1"/>
    <col min="7425" max="7425" width="9.5703125" customWidth="1"/>
    <col min="7426" max="7426" width="38.42578125" customWidth="1"/>
    <col min="7427" max="7427" width="23.28515625" customWidth="1"/>
    <col min="7428" max="7428" width="15.5703125" customWidth="1"/>
    <col min="7429" max="7430" width="14.28515625" customWidth="1"/>
    <col min="7431" max="7433" width="14.7109375" customWidth="1"/>
    <col min="7434" max="7434" width="14.28515625" customWidth="1"/>
    <col min="7435" max="7435" width="8.85546875" customWidth="1"/>
    <col min="7681" max="7681" width="9.5703125" customWidth="1"/>
    <col min="7682" max="7682" width="38.42578125" customWidth="1"/>
    <col min="7683" max="7683" width="23.28515625" customWidth="1"/>
    <col min="7684" max="7684" width="15.5703125" customWidth="1"/>
    <col min="7685" max="7686" width="14.28515625" customWidth="1"/>
    <col min="7687" max="7689" width="14.7109375" customWidth="1"/>
    <col min="7690" max="7690" width="14.28515625" customWidth="1"/>
    <col min="7691" max="7691" width="8.85546875" customWidth="1"/>
    <col min="7937" max="7937" width="9.5703125" customWidth="1"/>
    <col min="7938" max="7938" width="38.42578125" customWidth="1"/>
    <col min="7939" max="7939" width="23.28515625" customWidth="1"/>
    <col min="7940" max="7940" width="15.5703125" customWidth="1"/>
    <col min="7941" max="7942" width="14.28515625" customWidth="1"/>
    <col min="7943" max="7945" width="14.7109375" customWidth="1"/>
    <col min="7946" max="7946" width="14.28515625" customWidth="1"/>
    <col min="7947" max="7947" width="8.85546875" customWidth="1"/>
    <col min="8193" max="8193" width="9.5703125" customWidth="1"/>
    <col min="8194" max="8194" width="38.42578125" customWidth="1"/>
    <col min="8195" max="8195" width="23.28515625" customWidth="1"/>
    <col min="8196" max="8196" width="15.5703125" customWidth="1"/>
    <col min="8197" max="8198" width="14.28515625" customWidth="1"/>
    <col min="8199" max="8201" width="14.7109375" customWidth="1"/>
    <col min="8202" max="8202" width="14.28515625" customWidth="1"/>
    <col min="8203" max="8203" width="8.85546875" customWidth="1"/>
    <col min="8449" max="8449" width="9.5703125" customWidth="1"/>
    <col min="8450" max="8450" width="38.42578125" customWidth="1"/>
    <col min="8451" max="8451" width="23.28515625" customWidth="1"/>
    <col min="8452" max="8452" width="15.5703125" customWidth="1"/>
    <col min="8453" max="8454" width="14.28515625" customWidth="1"/>
    <col min="8455" max="8457" width="14.7109375" customWidth="1"/>
    <col min="8458" max="8458" width="14.28515625" customWidth="1"/>
    <col min="8459" max="8459" width="8.85546875" customWidth="1"/>
    <col min="8705" max="8705" width="9.5703125" customWidth="1"/>
    <col min="8706" max="8706" width="38.42578125" customWidth="1"/>
    <col min="8707" max="8707" width="23.28515625" customWidth="1"/>
    <col min="8708" max="8708" width="15.5703125" customWidth="1"/>
    <col min="8709" max="8710" width="14.28515625" customWidth="1"/>
    <col min="8711" max="8713" width="14.7109375" customWidth="1"/>
    <col min="8714" max="8714" width="14.28515625" customWidth="1"/>
    <col min="8715" max="8715" width="8.85546875" customWidth="1"/>
    <col min="8961" max="8961" width="9.5703125" customWidth="1"/>
    <col min="8962" max="8962" width="38.42578125" customWidth="1"/>
    <col min="8963" max="8963" width="23.28515625" customWidth="1"/>
    <col min="8964" max="8964" width="15.5703125" customWidth="1"/>
    <col min="8965" max="8966" width="14.28515625" customWidth="1"/>
    <col min="8967" max="8969" width="14.7109375" customWidth="1"/>
    <col min="8970" max="8970" width="14.28515625" customWidth="1"/>
    <col min="8971" max="8971" width="8.85546875" customWidth="1"/>
    <col min="9217" max="9217" width="9.5703125" customWidth="1"/>
    <col min="9218" max="9218" width="38.42578125" customWidth="1"/>
    <col min="9219" max="9219" width="23.28515625" customWidth="1"/>
    <col min="9220" max="9220" width="15.5703125" customWidth="1"/>
    <col min="9221" max="9222" width="14.28515625" customWidth="1"/>
    <col min="9223" max="9225" width="14.7109375" customWidth="1"/>
    <col min="9226" max="9226" width="14.28515625" customWidth="1"/>
    <col min="9227" max="9227" width="8.85546875" customWidth="1"/>
    <col min="9473" max="9473" width="9.5703125" customWidth="1"/>
    <col min="9474" max="9474" width="38.42578125" customWidth="1"/>
    <col min="9475" max="9475" width="23.28515625" customWidth="1"/>
    <col min="9476" max="9476" width="15.5703125" customWidth="1"/>
    <col min="9477" max="9478" width="14.28515625" customWidth="1"/>
    <col min="9479" max="9481" width="14.7109375" customWidth="1"/>
    <col min="9482" max="9482" width="14.28515625" customWidth="1"/>
    <col min="9483" max="9483" width="8.85546875" customWidth="1"/>
    <col min="9729" max="9729" width="9.5703125" customWidth="1"/>
    <col min="9730" max="9730" width="38.42578125" customWidth="1"/>
    <col min="9731" max="9731" width="23.28515625" customWidth="1"/>
    <col min="9732" max="9732" width="15.5703125" customWidth="1"/>
    <col min="9733" max="9734" width="14.28515625" customWidth="1"/>
    <col min="9735" max="9737" width="14.7109375" customWidth="1"/>
    <col min="9738" max="9738" width="14.28515625" customWidth="1"/>
    <col min="9739" max="9739" width="8.85546875" customWidth="1"/>
    <col min="9985" max="9985" width="9.5703125" customWidth="1"/>
    <col min="9986" max="9986" width="38.42578125" customWidth="1"/>
    <col min="9987" max="9987" width="23.28515625" customWidth="1"/>
    <col min="9988" max="9988" width="15.5703125" customWidth="1"/>
    <col min="9989" max="9990" width="14.28515625" customWidth="1"/>
    <col min="9991" max="9993" width="14.7109375" customWidth="1"/>
    <col min="9994" max="9994" width="14.28515625" customWidth="1"/>
    <col min="9995" max="9995" width="8.85546875" customWidth="1"/>
    <col min="10241" max="10241" width="9.5703125" customWidth="1"/>
    <col min="10242" max="10242" width="38.42578125" customWidth="1"/>
    <col min="10243" max="10243" width="23.28515625" customWidth="1"/>
    <col min="10244" max="10244" width="15.5703125" customWidth="1"/>
    <col min="10245" max="10246" width="14.28515625" customWidth="1"/>
    <col min="10247" max="10249" width="14.7109375" customWidth="1"/>
    <col min="10250" max="10250" width="14.28515625" customWidth="1"/>
    <col min="10251" max="10251" width="8.85546875" customWidth="1"/>
    <col min="10497" max="10497" width="9.5703125" customWidth="1"/>
    <col min="10498" max="10498" width="38.42578125" customWidth="1"/>
    <col min="10499" max="10499" width="23.28515625" customWidth="1"/>
    <col min="10500" max="10500" width="15.5703125" customWidth="1"/>
    <col min="10501" max="10502" width="14.28515625" customWidth="1"/>
    <col min="10503" max="10505" width="14.7109375" customWidth="1"/>
    <col min="10506" max="10506" width="14.28515625" customWidth="1"/>
    <col min="10507" max="10507" width="8.85546875" customWidth="1"/>
    <col min="10753" max="10753" width="9.5703125" customWidth="1"/>
    <col min="10754" max="10754" width="38.42578125" customWidth="1"/>
    <col min="10755" max="10755" width="23.28515625" customWidth="1"/>
    <col min="10756" max="10756" width="15.5703125" customWidth="1"/>
    <col min="10757" max="10758" width="14.28515625" customWidth="1"/>
    <col min="10759" max="10761" width="14.7109375" customWidth="1"/>
    <col min="10762" max="10762" width="14.28515625" customWidth="1"/>
    <col min="10763" max="10763" width="8.85546875" customWidth="1"/>
    <col min="11009" max="11009" width="9.5703125" customWidth="1"/>
    <col min="11010" max="11010" width="38.42578125" customWidth="1"/>
    <col min="11011" max="11011" width="23.28515625" customWidth="1"/>
    <col min="11012" max="11012" width="15.5703125" customWidth="1"/>
    <col min="11013" max="11014" width="14.28515625" customWidth="1"/>
    <col min="11015" max="11017" width="14.7109375" customWidth="1"/>
    <col min="11018" max="11018" width="14.28515625" customWidth="1"/>
    <col min="11019" max="11019" width="8.85546875" customWidth="1"/>
    <col min="11265" max="11265" width="9.5703125" customWidth="1"/>
    <col min="11266" max="11266" width="38.42578125" customWidth="1"/>
    <col min="11267" max="11267" width="23.28515625" customWidth="1"/>
    <col min="11268" max="11268" width="15.5703125" customWidth="1"/>
    <col min="11269" max="11270" width="14.28515625" customWidth="1"/>
    <col min="11271" max="11273" width="14.7109375" customWidth="1"/>
    <col min="11274" max="11274" width="14.28515625" customWidth="1"/>
    <col min="11275" max="11275" width="8.85546875" customWidth="1"/>
    <col min="11521" max="11521" width="9.5703125" customWidth="1"/>
    <col min="11522" max="11522" width="38.42578125" customWidth="1"/>
    <col min="11523" max="11523" width="23.28515625" customWidth="1"/>
    <col min="11524" max="11524" width="15.5703125" customWidth="1"/>
    <col min="11525" max="11526" width="14.28515625" customWidth="1"/>
    <col min="11527" max="11529" width="14.7109375" customWidth="1"/>
    <col min="11530" max="11530" width="14.28515625" customWidth="1"/>
    <col min="11531" max="11531" width="8.85546875" customWidth="1"/>
    <col min="11777" max="11777" width="9.5703125" customWidth="1"/>
    <col min="11778" max="11778" width="38.42578125" customWidth="1"/>
    <col min="11779" max="11779" width="23.28515625" customWidth="1"/>
    <col min="11780" max="11780" width="15.5703125" customWidth="1"/>
    <col min="11781" max="11782" width="14.28515625" customWidth="1"/>
    <col min="11783" max="11785" width="14.7109375" customWidth="1"/>
    <col min="11786" max="11786" width="14.28515625" customWidth="1"/>
    <col min="11787" max="11787" width="8.85546875" customWidth="1"/>
    <col min="12033" max="12033" width="9.5703125" customWidth="1"/>
    <col min="12034" max="12034" width="38.42578125" customWidth="1"/>
    <col min="12035" max="12035" width="23.28515625" customWidth="1"/>
    <col min="12036" max="12036" width="15.5703125" customWidth="1"/>
    <col min="12037" max="12038" width="14.28515625" customWidth="1"/>
    <col min="12039" max="12041" width="14.7109375" customWidth="1"/>
    <col min="12042" max="12042" width="14.28515625" customWidth="1"/>
    <col min="12043" max="12043" width="8.85546875" customWidth="1"/>
    <col min="12289" max="12289" width="9.5703125" customWidth="1"/>
    <col min="12290" max="12290" width="38.42578125" customWidth="1"/>
    <col min="12291" max="12291" width="23.28515625" customWidth="1"/>
    <col min="12292" max="12292" width="15.5703125" customWidth="1"/>
    <col min="12293" max="12294" width="14.28515625" customWidth="1"/>
    <col min="12295" max="12297" width="14.7109375" customWidth="1"/>
    <col min="12298" max="12298" width="14.28515625" customWidth="1"/>
    <col min="12299" max="12299" width="8.85546875" customWidth="1"/>
    <col min="12545" max="12545" width="9.5703125" customWidth="1"/>
    <col min="12546" max="12546" width="38.42578125" customWidth="1"/>
    <col min="12547" max="12547" width="23.28515625" customWidth="1"/>
    <col min="12548" max="12548" width="15.5703125" customWidth="1"/>
    <col min="12549" max="12550" width="14.28515625" customWidth="1"/>
    <col min="12551" max="12553" width="14.7109375" customWidth="1"/>
    <col min="12554" max="12554" width="14.28515625" customWidth="1"/>
    <col min="12555" max="12555" width="8.85546875" customWidth="1"/>
    <col min="12801" max="12801" width="9.5703125" customWidth="1"/>
    <col min="12802" max="12802" width="38.42578125" customWidth="1"/>
    <col min="12803" max="12803" width="23.28515625" customWidth="1"/>
    <col min="12804" max="12804" width="15.5703125" customWidth="1"/>
    <col min="12805" max="12806" width="14.28515625" customWidth="1"/>
    <col min="12807" max="12809" width="14.7109375" customWidth="1"/>
    <col min="12810" max="12810" width="14.28515625" customWidth="1"/>
    <col min="12811" max="12811" width="8.85546875" customWidth="1"/>
    <col min="13057" max="13057" width="9.5703125" customWidth="1"/>
    <col min="13058" max="13058" width="38.42578125" customWidth="1"/>
    <col min="13059" max="13059" width="23.28515625" customWidth="1"/>
    <col min="13060" max="13060" width="15.5703125" customWidth="1"/>
    <col min="13061" max="13062" width="14.28515625" customWidth="1"/>
    <col min="13063" max="13065" width="14.7109375" customWidth="1"/>
    <col min="13066" max="13066" width="14.28515625" customWidth="1"/>
    <col min="13067" max="13067" width="8.85546875" customWidth="1"/>
    <col min="13313" max="13313" width="9.5703125" customWidth="1"/>
    <col min="13314" max="13314" width="38.42578125" customWidth="1"/>
    <col min="13315" max="13315" width="23.28515625" customWidth="1"/>
    <col min="13316" max="13316" width="15.5703125" customWidth="1"/>
    <col min="13317" max="13318" width="14.28515625" customWidth="1"/>
    <col min="13319" max="13321" width="14.7109375" customWidth="1"/>
    <col min="13322" max="13322" width="14.28515625" customWidth="1"/>
    <col min="13323" max="13323" width="8.85546875" customWidth="1"/>
    <col min="13569" max="13569" width="9.5703125" customWidth="1"/>
    <col min="13570" max="13570" width="38.42578125" customWidth="1"/>
    <col min="13571" max="13571" width="23.28515625" customWidth="1"/>
    <col min="13572" max="13572" width="15.5703125" customWidth="1"/>
    <col min="13573" max="13574" width="14.28515625" customWidth="1"/>
    <col min="13575" max="13577" width="14.7109375" customWidth="1"/>
    <col min="13578" max="13578" width="14.28515625" customWidth="1"/>
    <col min="13579" max="13579" width="8.85546875" customWidth="1"/>
    <col min="13825" max="13825" width="9.5703125" customWidth="1"/>
    <col min="13826" max="13826" width="38.42578125" customWidth="1"/>
    <col min="13827" max="13827" width="23.28515625" customWidth="1"/>
    <col min="13828" max="13828" width="15.5703125" customWidth="1"/>
    <col min="13829" max="13830" width="14.28515625" customWidth="1"/>
    <col min="13831" max="13833" width="14.7109375" customWidth="1"/>
    <col min="13834" max="13834" width="14.28515625" customWidth="1"/>
    <col min="13835" max="13835" width="8.85546875" customWidth="1"/>
    <col min="14081" max="14081" width="9.5703125" customWidth="1"/>
    <col min="14082" max="14082" width="38.42578125" customWidth="1"/>
    <col min="14083" max="14083" width="23.28515625" customWidth="1"/>
    <col min="14084" max="14084" width="15.5703125" customWidth="1"/>
    <col min="14085" max="14086" width="14.28515625" customWidth="1"/>
    <col min="14087" max="14089" width="14.7109375" customWidth="1"/>
    <col min="14090" max="14090" width="14.28515625" customWidth="1"/>
    <col min="14091" max="14091" width="8.85546875" customWidth="1"/>
    <col min="14337" max="14337" width="9.5703125" customWidth="1"/>
    <col min="14338" max="14338" width="38.42578125" customWidth="1"/>
    <col min="14339" max="14339" width="23.28515625" customWidth="1"/>
    <col min="14340" max="14340" width="15.5703125" customWidth="1"/>
    <col min="14341" max="14342" width="14.28515625" customWidth="1"/>
    <col min="14343" max="14345" width="14.7109375" customWidth="1"/>
    <col min="14346" max="14346" width="14.28515625" customWidth="1"/>
    <col min="14347" max="14347" width="8.85546875" customWidth="1"/>
    <col min="14593" max="14593" width="9.5703125" customWidth="1"/>
    <col min="14594" max="14594" width="38.42578125" customWidth="1"/>
    <col min="14595" max="14595" width="23.28515625" customWidth="1"/>
    <col min="14596" max="14596" width="15.5703125" customWidth="1"/>
    <col min="14597" max="14598" width="14.28515625" customWidth="1"/>
    <col min="14599" max="14601" width="14.7109375" customWidth="1"/>
    <col min="14602" max="14602" width="14.28515625" customWidth="1"/>
    <col min="14603" max="14603" width="8.85546875" customWidth="1"/>
    <col min="14849" max="14849" width="9.5703125" customWidth="1"/>
    <col min="14850" max="14850" width="38.42578125" customWidth="1"/>
    <col min="14851" max="14851" width="23.28515625" customWidth="1"/>
    <col min="14852" max="14852" width="15.5703125" customWidth="1"/>
    <col min="14853" max="14854" width="14.28515625" customWidth="1"/>
    <col min="14855" max="14857" width="14.7109375" customWidth="1"/>
    <col min="14858" max="14858" width="14.28515625" customWidth="1"/>
    <col min="14859" max="14859" width="8.85546875" customWidth="1"/>
    <col min="15105" max="15105" width="9.5703125" customWidth="1"/>
    <col min="15106" max="15106" width="38.42578125" customWidth="1"/>
    <col min="15107" max="15107" width="23.28515625" customWidth="1"/>
    <col min="15108" max="15108" width="15.5703125" customWidth="1"/>
    <col min="15109" max="15110" width="14.28515625" customWidth="1"/>
    <col min="15111" max="15113" width="14.7109375" customWidth="1"/>
    <col min="15114" max="15114" width="14.28515625" customWidth="1"/>
    <col min="15115" max="15115" width="8.85546875" customWidth="1"/>
    <col min="15361" max="15361" width="9.5703125" customWidth="1"/>
    <col min="15362" max="15362" width="38.42578125" customWidth="1"/>
    <col min="15363" max="15363" width="23.28515625" customWidth="1"/>
    <col min="15364" max="15364" width="15.5703125" customWidth="1"/>
    <col min="15365" max="15366" width="14.28515625" customWidth="1"/>
    <col min="15367" max="15369" width="14.7109375" customWidth="1"/>
    <col min="15370" max="15370" width="14.28515625" customWidth="1"/>
    <col min="15371" max="15371" width="8.85546875" customWidth="1"/>
    <col min="15617" max="15617" width="9.5703125" customWidth="1"/>
    <col min="15618" max="15618" width="38.42578125" customWidth="1"/>
    <col min="15619" max="15619" width="23.28515625" customWidth="1"/>
    <col min="15620" max="15620" width="15.5703125" customWidth="1"/>
    <col min="15621" max="15622" width="14.28515625" customWidth="1"/>
    <col min="15623" max="15625" width="14.7109375" customWidth="1"/>
    <col min="15626" max="15626" width="14.28515625" customWidth="1"/>
    <col min="15627" max="15627" width="8.85546875" customWidth="1"/>
    <col min="15873" max="15873" width="9.5703125" customWidth="1"/>
    <col min="15874" max="15874" width="38.42578125" customWidth="1"/>
    <col min="15875" max="15875" width="23.28515625" customWidth="1"/>
    <col min="15876" max="15876" width="15.5703125" customWidth="1"/>
    <col min="15877" max="15878" width="14.28515625" customWidth="1"/>
    <col min="15879" max="15881" width="14.7109375" customWidth="1"/>
    <col min="15882" max="15882" width="14.28515625" customWidth="1"/>
    <col min="15883" max="15883" width="8.85546875" customWidth="1"/>
    <col min="16129" max="16129" width="9.5703125" customWidth="1"/>
    <col min="16130" max="16130" width="38.42578125" customWidth="1"/>
    <col min="16131" max="16131" width="23.28515625" customWidth="1"/>
    <col min="16132" max="16132" width="15.5703125" customWidth="1"/>
    <col min="16133" max="16134" width="14.28515625" customWidth="1"/>
    <col min="16135" max="16137" width="14.7109375" customWidth="1"/>
    <col min="16138" max="16138" width="14.28515625" customWidth="1"/>
    <col min="16139" max="16139" width="8.85546875" customWidth="1"/>
  </cols>
  <sheetData>
    <row r="1" spans="1:11" ht="15.75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1" ht="43.9" customHeight="1" x14ac:dyDescent="0.25">
      <c r="A2" s="269" t="s">
        <v>11</v>
      </c>
      <c r="B2" s="269"/>
      <c r="C2" s="269"/>
      <c r="D2" s="269"/>
      <c r="E2" s="269"/>
      <c r="F2" s="269"/>
      <c r="G2" s="269"/>
      <c r="H2" s="269"/>
      <c r="I2" s="269"/>
      <c r="J2" s="269"/>
    </row>
    <row r="3" spans="1:11" ht="16.149999999999999" customHeight="1" x14ac:dyDescent="0.25">
      <c r="A3" s="230"/>
      <c r="B3" s="230"/>
      <c r="C3" s="230"/>
      <c r="D3" s="230"/>
      <c r="E3" s="230"/>
      <c r="F3" s="230"/>
      <c r="G3" s="230"/>
      <c r="H3" s="230"/>
      <c r="I3" s="230"/>
      <c r="J3" s="230"/>
    </row>
    <row r="5" spans="1:11" ht="15.75" x14ac:dyDescent="0.25">
      <c r="A5" s="269" t="s">
        <v>866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</row>
    <row r="6" spans="1:11" x14ac:dyDescent="0.25">
      <c r="K6" s="12"/>
    </row>
    <row r="7" spans="1:11" ht="56.25" customHeight="1" x14ac:dyDescent="0.25">
      <c r="A7" s="274" t="s">
        <v>10</v>
      </c>
      <c r="B7" s="274" t="s">
        <v>6</v>
      </c>
      <c r="C7" s="337" t="s">
        <v>769</v>
      </c>
      <c r="D7" s="338"/>
      <c r="E7" s="337" t="s">
        <v>8</v>
      </c>
      <c r="F7" s="339"/>
      <c r="G7" s="338"/>
      <c r="H7" s="337" t="s">
        <v>771</v>
      </c>
      <c r="I7" s="339"/>
      <c r="J7" s="338"/>
    </row>
    <row r="8" spans="1:11" ht="47.25" x14ac:dyDescent="0.25">
      <c r="A8" s="275"/>
      <c r="B8" s="275"/>
      <c r="C8" s="6" t="s">
        <v>1</v>
      </c>
      <c r="D8" s="6" t="s">
        <v>2</v>
      </c>
      <c r="E8" s="232" t="s">
        <v>3</v>
      </c>
      <c r="F8" s="228" t="s">
        <v>4</v>
      </c>
      <c r="G8" s="228" t="s">
        <v>5</v>
      </c>
      <c r="H8" s="232" t="s">
        <v>3</v>
      </c>
      <c r="I8" s="228" t="s">
        <v>4</v>
      </c>
      <c r="J8" s="228" t="s">
        <v>5</v>
      </c>
    </row>
    <row r="9" spans="1:11" ht="67.150000000000006" customHeight="1" x14ac:dyDescent="0.25">
      <c r="A9" s="340" t="s">
        <v>854</v>
      </c>
      <c r="B9" s="236" t="s">
        <v>855</v>
      </c>
      <c r="C9" s="6" t="s">
        <v>856</v>
      </c>
      <c r="D9" s="6" t="s">
        <v>220</v>
      </c>
      <c r="E9" s="341">
        <v>145</v>
      </c>
      <c r="F9" s="341">
        <v>145</v>
      </c>
      <c r="G9" s="341">
        <v>145</v>
      </c>
      <c r="H9" s="342">
        <v>674.4</v>
      </c>
      <c r="I9" s="342">
        <v>674.4</v>
      </c>
      <c r="J9" s="342">
        <v>674.4</v>
      </c>
    </row>
    <row r="10" spans="1:11" ht="34.15" customHeight="1" x14ac:dyDescent="0.25">
      <c r="A10" s="343" t="s">
        <v>854</v>
      </c>
      <c r="B10" s="251" t="s">
        <v>857</v>
      </c>
      <c r="C10" s="6" t="s">
        <v>858</v>
      </c>
      <c r="D10" s="6" t="s">
        <v>326</v>
      </c>
      <c r="E10" s="341">
        <v>1302</v>
      </c>
      <c r="F10" s="341">
        <v>1302</v>
      </c>
      <c r="G10" s="341">
        <v>1302</v>
      </c>
      <c r="H10" s="342">
        <v>116.6</v>
      </c>
      <c r="I10" s="342">
        <v>116.6</v>
      </c>
      <c r="J10" s="342">
        <v>116.6</v>
      </c>
    </row>
    <row r="11" spans="1:11" ht="33" customHeight="1" x14ac:dyDescent="0.25">
      <c r="A11" s="344"/>
      <c r="B11" s="236" t="s">
        <v>859</v>
      </c>
      <c r="C11" s="6" t="s">
        <v>860</v>
      </c>
      <c r="D11" s="6" t="s">
        <v>861</v>
      </c>
      <c r="E11" s="341">
        <v>45</v>
      </c>
      <c r="F11" s="341">
        <v>45</v>
      </c>
      <c r="G11" s="341">
        <v>45</v>
      </c>
      <c r="H11" s="342">
        <v>77.7</v>
      </c>
      <c r="I11" s="342">
        <v>77.7</v>
      </c>
      <c r="J11" s="342">
        <v>77.7</v>
      </c>
    </row>
    <row r="12" spans="1:11" ht="34.15" customHeight="1" x14ac:dyDescent="0.25">
      <c r="A12" s="344"/>
      <c r="B12" s="236" t="s">
        <v>862</v>
      </c>
      <c r="C12" s="6" t="s">
        <v>863</v>
      </c>
      <c r="D12" s="6" t="s">
        <v>861</v>
      </c>
      <c r="E12" s="341">
        <v>270</v>
      </c>
      <c r="F12" s="341">
        <v>270</v>
      </c>
      <c r="G12" s="341">
        <v>270</v>
      </c>
      <c r="H12" s="342">
        <v>170.2</v>
      </c>
      <c r="I12" s="342">
        <v>170.2</v>
      </c>
      <c r="J12" s="342">
        <v>170.2</v>
      </c>
    </row>
    <row r="13" spans="1:11" ht="34.15" customHeight="1" x14ac:dyDescent="0.25">
      <c r="A13" s="344"/>
      <c r="B13" s="251" t="s">
        <v>864</v>
      </c>
      <c r="C13" s="6" t="s">
        <v>865</v>
      </c>
      <c r="D13" s="6" t="s">
        <v>861</v>
      </c>
      <c r="E13" s="341">
        <v>250</v>
      </c>
      <c r="F13" s="341">
        <v>250</v>
      </c>
      <c r="G13" s="341">
        <v>250</v>
      </c>
      <c r="H13" s="342">
        <v>68.099999999999994</v>
      </c>
      <c r="I13" s="342">
        <v>68.099999999999994</v>
      </c>
      <c r="J13" s="342">
        <v>68.099999999999994</v>
      </c>
    </row>
    <row r="14" spans="1:11" ht="15.75" customHeight="1" x14ac:dyDescent="0.25">
      <c r="A14" s="345"/>
      <c r="B14" s="242"/>
      <c r="C14" s="243"/>
      <c r="D14" s="243"/>
      <c r="E14" s="346"/>
      <c r="F14" s="346"/>
      <c r="G14" s="346"/>
      <c r="H14" s="347"/>
      <c r="I14" s="347"/>
      <c r="J14" s="347"/>
    </row>
    <row r="15" spans="1:11" s="82" customFormat="1" ht="16.5" x14ac:dyDescent="0.25">
      <c r="A15" s="270"/>
      <c r="B15" s="270"/>
      <c r="C15" s="231" t="s">
        <v>3</v>
      </c>
      <c r="D15" s="231" t="s">
        <v>4</v>
      </c>
      <c r="E15" s="231" t="s">
        <v>5</v>
      </c>
    </row>
    <row r="16" spans="1:11" s="82" customFormat="1" ht="71.25" customHeight="1" x14ac:dyDescent="0.25">
      <c r="A16" s="271" t="s">
        <v>248</v>
      </c>
      <c r="B16" s="272"/>
      <c r="C16" s="238">
        <v>1107</v>
      </c>
      <c r="D16" s="238">
        <v>1107</v>
      </c>
      <c r="E16" s="238">
        <v>1107</v>
      </c>
    </row>
  </sheetData>
  <mergeCells count="10">
    <mergeCell ref="A10:A13"/>
    <mergeCell ref="A15:B15"/>
    <mergeCell ref="A16:B16"/>
    <mergeCell ref="A2:J2"/>
    <mergeCell ref="A5:K5"/>
    <mergeCell ref="A7:A8"/>
    <mergeCell ref="B7:B8"/>
    <mergeCell ref="C7:D7"/>
    <mergeCell ref="E7:G7"/>
    <mergeCell ref="H7:J7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5"/>
  <sheetViews>
    <sheetView workbookViewId="0">
      <selection activeCell="A5" sqref="A5"/>
    </sheetView>
  </sheetViews>
  <sheetFormatPr defaultRowHeight="15" x14ac:dyDescent="0.25"/>
  <cols>
    <col min="1" max="1" width="16.28515625" customWidth="1"/>
    <col min="2" max="2" width="56" customWidth="1"/>
    <col min="3" max="3" width="17.28515625" customWidth="1"/>
    <col min="4" max="4" width="13.5703125" customWidth="1"/>
    <col min="5" max="5" width="15.7109375" customWidth="1"/>
    <col min="6" max="6" width="14.28515625" customWidth="1"/>
    <col min="7" max="7" width="13.7109375" customWidth="1"/>
    <col min="8" max="8" width="14.7109375" customWidth="1"/>
    <col min="9" max="9" width="15.42578125" customWidth="1"/>
    <col min="10" max="10" width="16.7109375" customWidth="1"/>
  </cols>
  <sheetData>
    <row r="2" spans="1:10" ht="15.7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ht="15.75" customHeight="1" x14ac:dyDescent="0.25">
      <c r="A3" s="282" t="s">
        <v>249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0" ht="15" customHeight="1" x14ac:dyDescent="0.25">
      <c r="A4" s="296" t="s">
        <v>0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0" ht="15.6" x14ac:dyDescent="0.3">
      <c r="A5" s="56"/>
      <c r="B5" s="57"/>
      <c r="D5" s="58"/>
      <c r="J5" s="1"/>
    </row>
    <row r="6" spans="1:10" ht="62.25" customHeight="1" x14ac:dyDescent="0.25">
      <c r="A6" s="283" t="s">
        <v>10</v>
      </c>
      <c r="B6" s="298" t="s">
        <v>6</v>
      </c>
      <c r="C6" s="288" t="s">
        <v>7</v>
      </c>
      <c r="D6" s="289"/>
      <c r="E6" s="288" t="s">
        <v>8</v>
      </c>
      <c r="F6" s="297"/>
      <c r="G6" s="289"/>
      <c r="H6" s="288" t="s">
        <v>9</v>
      </c>
      <c r="I6" s="297"/>
      <c r="J6" s="289"/>
    </row>
    <row r="7" spans="1:10" ht="47.25" x14ac:dyDescent="0.25">
      <c r="A7" s="284"/>
      <c r="B7" s="299"/>
      <c r="C7" s="6" t="s">
        <v>1</v>
      </c>
      <c r="D7" s="6" t="s">
        <v>2</v>
      </c>
      <c r="E7" s="61" t="s">
        <v>3</v>
      </c>
      <c r="F7" s="14" t="s">
        <v>4</v>
      </c>
      <c r="G7" s="14" t="s">
        <v>5</v>
      </c>
      <c r="H7" s="61" t="s">
        <v>3</v>
      </c>
      <c r="I7" s="14" t="s">
        <v>4</v>
      </c>
      <c r="J7" s="14" t="s">
        <v>5</v>
      </c>
    </row>
    <row r="8" spans="1:10" ht="31.5" x14ac:dyDescent="0.25">
      <c r="A8" s="302" t="s">
        <v>250</v>
      </c>
      <c r="B8" s="305" t="s">
        <v>251</v>
      </c>
      <c r="C8" s="6" t="s">
        <v>304</v>
      </c>
      <c r="D8" s="6" t="s">
        <v>220</v>
      </c>
      <c r="E8" s="61">
        <v>7000</v>
      </c>
      <c r="F8" s="61">
        <v>7000</v>
      </c>
      <c r="G8" s="61">
        <v>7000</v>
      </c>
      <c r="H8" s="62">
        <v>13302.1</v>
      </c>
      <c r="I8" s="62">
        <v>13302.1</v>
      </c>
      <c r="J8" s="62">
        <v>13302.1</v>
      </c>
    </row>
    <row r="9" spans="1:10" ht="31.5" x14ac:dyDescent="0.25">
      <c r="A9" s="303"/>
      <c r="B9" s="306"/>
      <c r="C9" s="6" t="s">
        <v>305</v>
      </c>
      <c r="D9" s="6" t="s">
        <v>323</v>
      </c>
      <c r="E9" s="61">
        <v>50925</v>
      </c>
      <c r="F9" s="61">
        <v>50925</v>
      </c>
      <c r="G9" s="61">
        <v>50925</v>
      </c>
      <c r="H9" s="62">
        <v>21342.6675</v>
      </c>
      <c r="I9" s="62">
        <v>21342.6675</v>
      </c>
      <c r="J9" s="62">
        <v>21342.6675</v>
      </c>
    </row>
    <row r="10" spans="1:10" ht="31.5" x14ac:dyDescent="0.25">
      <c r="A10" s="304"/>
      <c r="B10" s="307"/>
      <c r="C10" s="6" t="s">
        <v>306</v>
      </c>
      <c r="D10" s="6" t="s">
        <v>323</v>
      </c>
      <c r="E10" s="61">
        <v>872789</v>
      </c>
      <c r="F10" s="61">
        <v>872789</v>
      </c>
      <c r="G10" s="61">
        <v>872789</v>
      </c>
      <c r="H10" s="63">
        <v>248426.4</v>
      </c>
      <c r="I10" s="63">
        <v>248426.4</v>
      </c>
      <c r="J10" s="63">
        <v>248426.4</v>
      </c>
    </row>
    <row r="11" spans="1:10" ht="31.5" x14ac:dyDescent="0.25">
      <c r="A11" s="300" t="s">
        <v>252</v>
      </c>
      <c r="B11" s="308" t="s">
        <v>253</v>
      </c>
      <c r="C11" s="6" t="s">
        <v>307</v>
      </c>
      <c r="D11" s="46" t="s">
        <v>220</v>
      </c>
      <c r="E11" s="61">
        <v>9579</v>
      </c>
      <c r="F11" s="61">
        <v>9579</v>
      </c>
      <c r="G11" s="61">
        <v>9579</v>
      </c>
      <c r="H11" s="63">
        <v>273386.09999999998</v>
      </c>
      <c r="I11" s="63">
        <v>273386.09999999998</v>
      </c>
      <c r="J11" s="63">
        <v>273386.09999999998</v>
      </c>
    </row>
    <row r="12" spans="1:10" ht="31.5" x14ac:dyDescent="0.25">
      <c r="A12" s="301"/>
      <c r="B12" s="309"/>
      <c r="C12" s="6" t="s">
        <v>308</v>
      </c>
      <c r="D12" s="46" t="s">
        <v>323</v>
      </c>
      <c r="E12" s="61">
        <v>12500</v>
      </c>
      <c r="F12" s="61">
        <v>12500</v>
      </c>
      <c r="G12" s="61">
        <v>12500</v>
      </c>
      <c r="H12" s="62">
        <v>4375</v>
      </c>
      <c r="I12" s="62">
        <v>4375</v>
      </c>
      <c r="J12" s="62">
        <v>4375</v>
      </c>
    </row>
    <row r="13" spans="1:10" ht="94.5" x14ac:dyDescent="0.25">
      <c r="A13" s="64" t="s">
        <v>254</v>
      </c>
      <c r="B13" s="65" t="s">
        <v>255</v>
      </c>
      <c r="C13" s="6" t="s">
        <v>307</v>
      </c>
      <c r="D13" s="46" t="s">
        <v>220</v>
      </c>
      <c r="E13" s="61">
        <v>24000</v>
      </c>
      <c r="F13" s="61">
        <v>24000</v>
      </c>
      <c r="G13" s="61">
        <v>24000</v>
      </c>
      <c r="H13" s="62">
        <v>16588.800000000003</v>
      </c>
      <c r="I13" s="62">
        <v>16588.800000000003</v>
      </c>
      <c r="J13" s="62">
        <v>16588.800000000003</v>
      </c>
    </row>
    <row r="14" spans="1:10" ht="31.5" x14ac:dyDescent="0.25">
      <c r="A14" s="300" t="s">
        <v>256</v>
      </c>
      <c r="B14" s="308" t="s">
        <v>257</v>
      </c>
      <c r="C14" s="6" t="s">
        <v>307</v>
      </c>
      <c r="D14" s="46" t="s">
        <v>220</v>
      </c>
      <c r="E14" s="61">
        <v>1320</v>
      </c>
      <c r="F14" s="61">
        <v>1320</v>
      </c>
      <c r="G14" s="61">
        <v>1320</v>
      </c>
      <c r="H14" s="62">
        <v>54536.3</v>
      </c>
      <c r="I14" s="62">
        <v>54536</v>
      </c>
      <c r="J14" s="62">
        <v>54536.3</v>
      </c>
    </row>
    <row r="15" spans="1:10" ht="31.5" x14ac:dyDescent="0.25">
      <c r="A15" s="301"/>
      <c r="B15" s="309"/>
      <c r="C15" s="6" t="s">
        <v>306</v>
      </c>
      <c r="D15" s="46" t="s">
        <v>323</v>
      </c>
      <c r="E15" s="61">
        <v>6204</v>
      </c>
      <c r="F15" s="61">
        <v>6204</v>
      </c>
      <c r="G15" s="61">
        <v>6204</v>
      </c>
      <c r="H15" s="62">
        <v>1741.7</v>
      </c>
      <c r="I15" s="62">
        <v>1741.7</v>
      </c>
      <c r="J15" s="62">
        <v>1741.7</v>
      </c>
    </row>
    <row r="16" spans="1:10" ht="31.5" x14ac:dyDescent="0.25">
      <c r="A16" s="66" t="s">
        <v>258</v>
      </c>
      <c r="B16" s="67" t="s">
        <v>259</v>
      </c>
      <c r="C16" s="6" t="s">
        <v>309</v>
      </c>
      <c r="D16" s="46" t="s">
        <v>324</v>
      </c>
      <c r="E16" s="61">
        <v>68000</v>
      </c>
      <c r="F16" s="61">
        <v>68000</v>
      </c>
      <c r="G16" s="61">
        <v>68000</v>
      </c>
      <c r="H16" s="62">
        <v>50734.8</v>
      </c>
      <c r="I16" s="62">
        <v>50734.8</v>
      </c>
      <c r="J16" s="62">
        <v>50734.8</v>
      </c>
    </row>
    <row r="17" spans="1:10" ht="31.5" x14ac:dyDescent="0.25">
      <c r="A17" s="64" t="s">
        <v>260</v>
      </c>
      <c r="B17" s="65" t="s">
        <v>261</v>
      </c>
      <c r="C17" s="6" t="s">
        <v>310</v>
      </c>
      <c r="D17" s="46" t="s">
        <v>323</v>
      </c>
      <c r="E17" s="61">
        <v>5450</v>
      </c>
      <c r="F17" s="61">
        <v>5450</v>
      </c>
      <c r="G17" s="61">
        <v>5450</v>
      </c>
      <c r="H17" s="62">
        <v>43807.1</v>
      </c>
      <c r="I17" s="62">
        <v>43807.1</v>
      </c>
      <c r="J17" s="62">
        <v>43807.1</v>
      </c>
    </row>
    <row r="18" spans="1:10" ht="110.25" x14ac:dyDescent="0.25">
      <c r="A18" s="64" t="s">
        <v>262</v>
      </c>
      <c r="B18" s="65" t="s">
        <v>263</v>
      </c>
      <c r="C18" s="6" t="s">
        <v>311</v>
      </c>
      <c r="D18" s="46" t="s">
        <v>323</v>
      </c>
      <c r="E18" s="61">
        <v>11000</v>
      </c>
      <c r="F18" s="61">
        <v>11000</v>
      </c>
      <c r="G18" s="61">
        <v>11000</v>
      </c>
      <c r="H18" s="62">
        <v>34098.9</v>
      </c>
      <c r="I18" s="62">
        <v>34098.9</v>
      </c>
      <c r="J18" s="62">
        <v>34098.9</v>
      </c>
    </row>
    <row r="19" spans="1:10" ht="110.25" x14ac:dyDescent="0.25">
      <c r="A19" s="64" t="s">
        <v>264</v>
      </c>
      <c r="B19" s="65" t="s">
        <v>265</v>
      </c>
      <c r="C19" s="6" t="s">
        <v>312</v>
      </c>
      <c r="D19" s="46" t="s">
        <v>325</v>
      </c>
      <c r="E19" s="61">
        <v>13</v>
      </c>
      <c r="F19" s="61">
        <v>13</v>
      </c>
      <c r="G19" s="61">
        <v>13</v>
      </c>
      <c r="H19" s="62">
        <v>10876.606</v>
      </c>
      <c r="I19" s="62">
        <v>10876.606</v>
      </c>
      <c r="J19" s="62">
        <v>10876.606</v>
      </c>
    </row>
    <row r="20" spans="1:10" ht="47.25" x14ac:dyDescent="0.25">
      <c r="A20" s="64" t="s">
        <v>266</v>
      </c>
      <c r="B20" s="65" t="s">
        <v>267</v>
      </c>
      <c r="C20" s="6" t="s">
        <v>328</v>
      </c>
      <c r="D20" s="46" t="s">
        <v>323</v>
      </c>
      <c r="E20" s="61">
        <v>500</v>
      </c>
      <c r="F20" s="61">
        <v>500</v>
      </c>
      <c r="G20" s="61">
        <v>500</v>
      </c>
      <c r="H20" s="62">
        <v>17193</v>
      </c>
      <c r="I20" s="62">
        <v>17193</v>
      </c>
      <c r="J20" s="62">
        <v>17193</v>
      </c>
    </row>
    <row r="21" spans="1:10" ht="31.5" x14ac:dyDescent="0.25">
      <c r="A21" s="64" t="s">
        <v>268</v>
      </c>
      <c r="B21" s="65" t="s">
        <v>269</v>
      </c>
      <c r="C21" s="6" t="s">
        <v>313</v>
      </c>
      <c r="D21" s="46" t="s">
        <v>326</v>
      </c>
      <c r="E21" s="61">
        <v>43000</v>
      </c>
      <c r="F21" s="61">
        <v>43000</v>
      </c>
      <c r="G21" s="61">
        <v>43000</v>
      </c>
      <c r="H21" s="62">
        <v>47699.9</v>
      </c>
      <c r="I21" s="62">
        <v>47699.9</v>
      </c>
      <c r="J21" s="62">
        <v>47699.9</v>
      </c>
    </row>
    <row r="22" spans="1:10" ht="31.5" x14ac:dyDescent="0.25">
      <c r="A22" s="68" t="s">
        <v>270</v>
      </c>
      <c r="B22" s="69" t="s">
        <v>271</v>
      </c>
      <c r="C22" s="70" t="s">
        <v>314</v>
      </c>
      <c r="D22" s="78" t="s">
        <v>226</v>
      </c>
      <c r="E22" s="61">
        <v>600</v>
      </c>
      <c r="F22" s="61">
        <v>600</v>
      </c>
      <c r="G22" s="61">
        <v>600</v>
      </c>
      <c r="H22" s="62">
        <v>12069.6</v>
      </c>
      <c r="I22" s="62">
        <v>12069.6</v>
      </c>
      <c r="J22" s="62">
        <v>12069.6</v>
      </c>
    </row>
    <row r="23" spans="1:10" ht="78.75" x14ac:dyDescent="0.25">
      <c r="A23" s="64" t="s">
        <v>272</v>
      </c>
      <c r="B23" s="71" t="s">
        <v>317</v>
      </c>
      <c r="C23" s="64" t="s">
        <v>315</v>
      </c>
      <c r="D23" s="46" t="s">
        <v>327</v>
      </c>
      <c r="E23" s="61">
        <v>4</v>
      </c>
      <c r="F23" s="61">
        <v>4</v>
      </c>
      <c r="G23" s="61">
        <v>4</v>
      </c>
      <c r="H23" s="62">
        <v>3712.68</v>
      </c>
      <c r="I23" s="62">
        <v>3712.68</v>
      </c>
      <c r="J23" s="62">
        <v>3712.68</v>
      </c>
    </row>
    <row r="24" spans="1:10" ht="78.75" x14ac:dyDescent="0.25">
      <c r="A24" s="64" t="s">
        <v>273</v>
      </c>
      <c r="B24" s="71" t="s">
        <v>274</v>
      </c>
      <c r="C24" s="64" t="s">
        <v>315</v>
      </c>
      <c r="D24" s="46" t="s">
        <v>327</v>
      </c>
      <c r="E24" s="61">
        <v>4</v>
      </c>
      <c r="F24" s="61">
        <v>4</v>
      </c>
      <c r="G24" s="61">
        <v>4</v>
      </c>
      <c r="H24" s="62">
        <v>3712.68</v>
      </c>
      <c r="I24" s="62">
        <v>3712.68</v>
      </c>
      <c r="J24" s="62">
        <v>3712.68</v>
      </c>
    </row>
    <row r="25" spans="1:10" ht="31.5" x14ac:dyDescent="0.25">
      <c r="A25" s="64" t="s">
        <v>149</v>
      </c>
      <c r="B25" s="71" t="s">
        <v>275</v>
      </c>
      <c r="C25" s="64" t="s">
        <v>316</v>
      </c>
      <c r="D25" s="64" t="s">
        <v>327</v>
      </c>
      <c r="E25" s="61">
        <v>9100</v>
      </c>
      <c r="F25" s="61">
        <v>9100</v>
      </c>
      <c r="G25" s="61">
        <v>9100</v>
      </c>
      <c r="H25" s="62">
        <v>869.1</v>
      </c>
      <c r="I25" s="62">
        <v>869.1</v>
      </c>
      <c r="J25" s="62">
        <v>869.1</v>
      </c>
    </row>
    <row r="26" spans="1:10" ht="31.5" x14ac:dyDescent="0.25">
      <c r="A26" s="60" t="s">
        <v>276</v>
      </c>
      <c r="B26" s="72" t="s">
        <v>277</v>
      </c>
      <c r="C26" s="60" t="s">
        <v>278</v>
      </c>
      <c r="D26" s="74" t="s">
        <v>323</v>
      </c>
      <c r="E26" s="73">
        <v>1032936</v>
      </c>
      <c r="F26" s="73">
        <v>1032936</v>
      </c>
      <c r="G26" s="73">
        <v>1032936</v>
      </c>
      <c r="H26" s="62">
        <v>5332.1</v>
      </c>
      <c r="I26" s="62">
        <v>5332.1</v>
      </c>
      <c r="J26" s="62">
        <v>5332.1</v>
      </c>
    </row>
    <row r="27" spans="1:10" ht="31.5" x14ac:dyDescent="0.25">
      <c r="A27" s="60" t="s">
        <v>279</v>
      </c>
      <c r="B27" s="72" t="s">
        <v>280</v>
      </c>
      <c r="C27" s="60" t="s">
        <v>278</v>
      </c>
      <c r="D27" s="74" t="s">
        <v>323</v>
      </c>
      <c r="E27" s="73">
        <v>4162725</v>
      </c>
      <c r="F27" s="73">
        <v>4162725</v>
      </c>
      <c r="G27" s="73">
        <v>4162725</v>
      </c>
      <c r="H27" s="62">
        <v>19001.5</v>
      </c>
      <c r="I27" s="62">
        <v>19001.5</v>
      </c>
      <c r="J27" s="62">
        <v>19001.5</v>
      </c>
    </row>
    <row r="28" spans="1:10" ht="47.25" x14ac:dyDescent="0.25">
      <c r="A28" s="300" t="s">
        <v>281</v>
      </c>
      <c r="B28" s="300" t="s">
        <v>282</v>
      </c>
      <c r="C28" s="64" t="s">
        <v>283</v>
      </c>
      <c r="D28" s="64" t="s">
        <v>220</v>
      </c>
      <c r="E28" s="61">
        <v>580</v>
      </c>
      <c r="F28" s="61">
        <v>580</v>
      </c>
      <c r="G28" s="61">
        <v>580</v>
      </c>
      <c r="H28" s="62">
        <v>17946.8</v>
      </c>
      <c r="I28" s="62">
        <v>17946.8</v>
      </c>
      <c r="J28" s="62">
        <v>17946.8</v>
      </c>
    </row>
    <row r="29" spans="1:10" ht="47.25" x14ac:dyDescent="0.25">
      <c r="A29" s="301"/>
      <c r="B29" s="301"/>
      <c r="C29" s="64" t="s">
        <v>284</v>
      </c>
      <c r="D29" s="64" t="s">
        <v>220</v>
      </c>
      <c r="E29" s="61">
        <v>240</v>
      </c>
      <c r="F29" s="61">
        <v>240</v>
      </c>
      <c r="G29" s="61">
        <v>240</v>
      </c>
      <c r="H29" s="62">
        <v>7691.5</v>
      </c>
      <c r="I29" s="62">
        <v>7691.5</v>
      </c>
      <c r="J29" s="62">
        <v>7691.5</v>
      </c>
    </row>
    <row r="30" spans="1:10" ht="63" x14ac:dyDescent="0.25">
      <c r="A30" s="64" t="s">
        <v>285</v>
      </c>
      <c r="B30" s="71" t="s">
        <v>286</v>
      </c>
      <c r="C30" s="64" t="s">
        <v>287</v>
      </c>
      <c r="D30" s="64" t="s">
        <v>226</v>
      </c>
      <c r="E30" s="61">
        <v>7</v>
      </c>
      <c r="F30" s="61">
        <v>7</v>
      </c>
      <c r="G30" s="61">
        <v>7</v>
      </c>
      <c r="H30" s="62">
        <v>1039.9000000000001</v>
      </c>
      <c r="I30" s="62">
        <v>1039.9000000000001</v>
      </c>
      <c r="J30" s="62">
        <v>1039.9000000000001</v>
      </c>
    </row>
    <row r="31" spans="1:10" ht="31.5" x14ac:dyDescent="0.25">
      <c r="A31" s="49" t="s">
        <v>288</v>
      </c>
      <c r="B31" s="71" t="s">
        <v>289</v>
      </c>
      <c r="C31" s="64" t="s">
        <v>108</v>
      </c>
      <c r="D31" s="64" t="s">
        <v>220</v>
      </c>
      <c r="E31" s="61">
        <v>27</v>
      </c>
      <c r="F31" s="61">
        <v>27</v>
      </c>
      <c r="G31" s="61">
        <v>27</v>
      </c>
      <c r="H31" s="62">
        <v>2456.6</v>
      </c>
      <c r="I31" s="62">
        <v>2456.6</v>
      </c>
      <c r="J31" s="62">
        <v>2456.6</v>
      </c>
    </row>
    <row r="34" spans="1:5" ht="15.75" x14ac:dyDescent="0.25">
      <c r="A34" s="270"/>
      <c r="B34" s="270"/>
      <c r="C34" s="59" t="s">
        <v>3</v>
      </c>
      <c r="D34" s="59" t="s">
        <v>4</v>
      </c>
      <c r="E34" s="59" t="s">
        <v>5</v>
      </c>
    </row>
    <row r="35" spans="1:5" ht="55.5" customHeight="1" x14ac:dyDescent="0.25">
      <c r="A35" s="271" t="s">
        <v>248</v>
      </c>
      <c r="B35" s="272"/>
      <c r="C35" s="55">
        <v>983340.9</v>
      </c>
      <c r="D35" s="55">
        <v>983340.9</v>
      </c>
      <c r="E35" s="55">
        <v>983340.9</v>
      </c>
    </row>
  </sheetData>
  <mergeCells count="18">
    <mergeCell ref="A28:A29"/>
    <mergeCell ref="B28:B29"/>
    <mergeCell ref="A34:B34"/>
    <mergeCell ref="A35:B35"/>
    <mergeCell ref="A8:A10"/>
    <mergeCell ref="B8:B10"/>
    <mergeCell ref="A11:A12"/>
    <mergeCell ref="B11:B12"/>
    <mergeCell ref="A14:A15"/>
    <mergeCell ref="B14:B15"/>
    <mergeCell ref="A2:J2"/>
    <mergeCell ref="A3:J3"/>
    <mergeCell ref="A4:J4"/>
    <mergeCell ref="A6:A7"/>
    <mergeCell ref="B6:B7"/>
    <mergeCell ref="C6:D6"/>
    <mergeCell ref="E6:G6"/>
    <mergeCell ref="H6:J6"/>
  </mergeCells>
  <pageMargins left="0.7" right="0.7" top="0.75" bottom="0.75" header="0.3" footer="0.3"/>
  <pageSetup paperSize="9" scale="4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="85" zoomScaleNormal="85" workbookViewId="0">
      <selection activeCell="A4" sqref="A4"/>
    </sheetView>
  </sheetViews>
  <sheetFormatPr defaultRowHeight="15" x14ac:dyDescent="0.25"/>
  <cols>
    <col min="1" max="1" width="23.7109375" customWidth="1"/>
    <col min="2" max="2" width="38.7109375" customWidth="1"/>
    <col min="3" max="3" width="16" customWidth="1"/>
    <col min="4" max="4" width="15.5703125" customWidth="1"/>
    <col min="5" max="9" width="14.7109375" customWidth="1"/>
    <col min="10" max="10" width="14.28515625" customWidth="1"/>
  </cols>
  <sheetData>
    <row r="1" spans="1:10" ht="15.6" x14ac:dyDescent="0.3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59.2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ht="15.75" x14ac:dyDescent="0.25">
      <c r="A3" s="282" t="s">
        <v>739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0" ht="14.45" x14ac:dyDescent="0.3">
      <c r="J4" s="1"/>
    </row>
    <row r="5" spans="1:10" ht="15.75" x14ac:dyDescent="0.25">
      <c r="A5" s="283" t="s">
        <v>10</v>
      </c>
      <c r="B5" s="283" t="s">
        <v>6</v>
      </c>
      <c r="C5" s="288" t="s">
        <v>7</v>
      </c>
      <c r="D5" s="289"/>
      <c r="E5" s="288" t="s">
        <v>8</v>
      </c>
      <c r="F5" s="297"/>
      <c r="G5" s="289"/>
      <c r="H5" s="288" t="s">
        <v>9</v>
      </c>
      <c r="I5" s="297"/>
      <c r="J5" s="289"/>
    </row>
    <row r="6" spans="1:10" ht="47.25" x14ac:dyDescent="0.25">
      <c r="A6" s="284"/>
      <c r="B6" s="284"/>
      <c r="C6" s="6" t="s">
        <v>1</v>
      </c>
      <c r="D6" s="6" t="s">
        <v>2</v>
      </c>
      <c r="E6" s="99" t="s">
        <v>3</v>
      </c>
      <c r="F6" s="100" t="s">
        <v>4</v>
      </c>
      <c r="G6" s="100" t="s">
        <v>5</v>
      </c>
      <c r="H6" s="99" t="s">
        <v>3</v>
      </c>
      <c r="I6" s="100" t="s">
        <v>4</v>
      </c>
      <c r="J6" s="100" t="s">
        <v>5</v>
      </c>
    </row>
    <row r="7" spans="1:10" ht="78.75" x14ac:dyDescent="0.25">
      <c r="A7" s="233" t="s">
        <v>756</v>
      </c>
      <c r="B7" s="233" t="s">
        <v>757</v>
      </c>
      <c r="C7" s="50" t="s">
        <v>758</v>
      </c>
      <c r="D7" s="50" t="s">
        <v>326</v>
      </c>
      <c r="E7" s="234">
        <v>610</v>
      </c>
      <c r="F7" s="234">
        <v>610</v>
      </c>
      <c r="G7" s="234">
        <v>610</v>
      </c>
      <c r="H7" s="235">
        <v>274.5</v>
      </c>
      <c r="I7" s="235">
        <v>277.77999999999997</v>
      </c>
      <c r="J7" s="235">
        <v>277.77999999999997</v>
      </c>
    </row>
    <row r="8" spans="1:10" ht="63" customHeight="1" x14ac:dyDescent="0.25">
      <c r="A8" s="279" t="s">
        <v>273</v>
      </c>
      <c r="B8" s="279" t="s">
        <v>274</v>
      </c>
      <c r="C8" s="50" t="s">
        <v>759</v>
      </c>
      <c r="D8" s="50" t="s">
        <v>326</v>
      </c>
      <c r="E8" s="234">
        <v>2</v>
      </c>
      <c r="F8" s="234">
        <v>2</v>
      </c>
      <c r="G8" s="234">
        <v>2</v>
      </c>
      <c r="H8" s="235">
        <v>81</v>
      </c>
      <c r="I8" s="235">
        <v>81.97</v>
      </c>
      <c r="J8" s="235">
        <v>81.97</v>
      </c>
    </row>
    <row r="9" spans="1:10" ht="126" x14ac:dyDescent="0.25">
      <c r="A9" s="280"/>
      <c r="B9" s="280"/>
      <c r="C9" s="50" t="s">
        <v>760</v>
      </c>
      <c r="D9" s="50" t="s">
        <v>326</v>
      </c>
      <c r="E9" s="234">
        <v>65</v>
      </c>
      <c r="F9" s="234">
        <v>65</v>
      </c>
      <c r="G9" s="234">
        <v>65</v>
      </c>
      <c r="H9" s="235">
        <v>175.5</v>
      </c>
      <c r="I9" s="235">
        <v>177.6</v>
      </c>
      <c r="J9" s="235">
        <v>177.6</v>
      </c>
    </row>
    <row r="10" spans="1:10" ht="94.5" x14ac:dyDescent="0.25">
      <c r="A10" s="281"/>
      <c r="B10" s="281"/>
      <c r="C10" s="50" t="s">
        <v>761</v>
      </c>
      <c r="D10" s="50" t="s">
        <v>326</v>
      </c>
      <c r="E10" s="234">
        <v>2</v>
      </c>
      <c r="F10" s="234">
        <v>2</v>
      </c>
      <c r="G10" s="234">
        <v>2</v>
      </c>
      <c r="H10" s="235">
        <v>58.5</v>
      </c>
      <c r="I10" s="235">
        <v>59.2</v>
      </c>
      <c r="J10" s="235">
        <v>59.2</v>
      </c>
    </row>
    <row r="11" spans="1:10" ht="63" customHeight="1" x14ac:dyDescent="0.25">
      <c r="A11" s="279" t="s">
        <v>343</v>
      </c>
      <c r="B11" s="279" t="s">
        <v>344</v>
      </c>
      <c r="C11" s="50" t="s">
        <v>759</v>
      </c>
      <c r="D11" s="50" t="s">
        <v>326</v>
      </c>
      <c r="E11" s="234">
        <v>2</v>
      </c>
      <c r="F11" s="234">
        <v>2</v>
      </c>
      <c r="G11" s="234">
        <v>2</v>
      </c>
      <c r="H11" s="235">
        <v>286.39999999999998</v>
      </c>
      <c r="I11" s="235">
        <v>289.82</v>
      </c>
      <c r="J11" s="235">
        <v>289.82</v>
      </c>
    </row>
    <row r="12" spans="1:10" ht="94.5" x14ac:dyDescent="0.25">
      <c r="A12" s="280"/>
      <c r="B12" s="280"/>
      <c r="C12" s="50" t="s">
        <v>762</v>
      </c>
      <c r="D12" s="50" t="s">
        <v>326</v>
      </c>
      <c r="E12" s="234">
        <v>3</v>
      </c>
      <c r="F12" s="234">
        <v>3</v>
      </c>
      <c r="G12" s="234">
        <v>3</v>
      </c>
      <c r="H12" s="235">
        <v>67.5</v>
      </c>
      <c r="I12" s="235">
        <v>68.31</v>
      </c>
      <c r="J12" s="235">
        <v>68.31</v>
      </c>
    </row>
    <row r="13" spans="1:10" ht="94.5" x14ac:dyDescent="0.25">
      <c r="A13" s="280"/>
      <c r="B13" s="280"/>
      <c r="C13" s="50" t="s">
        <v>763</v>
      </c>
      <c r="D13" s="50" t="s">
        <v>326</v>
      </c>
      <c r="E13" s="234">
        <v>11</v>
      </c>
      <c r="F13" s="234">
        <v>11</v>
      </c>
      <c r="G13" s="234">
        <v>11</v>
      </c>
      <c r="H13" s="235">
        <v>247.5</v>
      </c>
      <c r="I13" s="235">
        <v>250.46</v>
      </c>
      <c r="J13" s="235">
        <v>250.46</v>
      </c>
    </row>
    <row r="14" spans="1:10" ht="47.25" x14ac:dyDescent="0.25">
      <c r="A14" s="280"/>
      <c r="B14" s="280"/>
      <c r="C14" s="50" t="s">
        <v>764</v>
      </c>
      <c r="D14" s="50" t="s">
        <v>326</v>
      </c>
      <c r="E14" s="234">
        <f>1820+2750</f>
        <v>4570</v>
      </c>
      <c r="F14" s="234">
        <f t="shared" ref="F14:G14" si="0">1820+2750</f>
        <v>4570</v>
      </c>
      <c r="G14" s="234">
        <f t="shared" si="0"/>
        <v>4570</v>
      </c>
      <c r="H14" s="235">
        <f>819+1237.5</f>
        <v>2056.5</v>
      </c>
      <c r="I14" s="235">
        <f>828.8+1252.3</f>
        <v>2081.1</v>
      </c>
      <c r="J14" s="235">
        <f>828.8+1252.3</f>
        <v>2081.1</v>
      </c>
    </row>
    <row r="15" spans="1:10" ht="141.75" x14ac:dyDescent="0.25">
      <c r="A15" s="280"/>
      <c r="B15" s="280"/>
      <c r="C15" s="50" t="s">
        <v>765</v>
      </c>
      <c r="D15" s="50" t="s">
        <v>326</v>
      </c>
      <c r="E15" s="234">
        <v>61</v>
      </c>
      <c r="F15" s="234">
        <v>61</v>
      </c>
      <c r="G15" s="234">
        <v>61</v>
      </c>
      <c r="H15" s="235">
        <v>686.25</v>
      </c>
      <c r="I15" s="235">
        <v>694.46</v>
      </c>
      <c r="J15" s="235">
        <v>694.46</v>
      </c>
    </row>
    <row r="16" spans="1:10" ht="63" x14ac:dyDescent="0.25">
      <c r="A16" s="280"/>
      <c r="B16" s="280"/>
      <c r="C16" s="50" t="s">
        <v>766</v>
      </c>
      <c r="D16" s="50" t="s">
        <v>326</v>
      </c>
      <c r="E16" s="234">
        <v>245</v>
      </c>
      <c r="F16" s="234">
        <v>245</v>
      </c>
      <c r="G16" s="234">
        <v>245</v>
      </c>
      <c r="H16" s="235">
        <v>2756.25</v>
      </c>
      <c r="I16" s="235">
        <v>2789.22</v>
      </c>
      <c r="J16" s="235">
        <v>2789.22</v>
      </c>
    </row>
    <row r="17" spans="1:10" ht="47.25" x14ac:dyDescent="0.25">
      <c r="A17" s="281"/>
      <c r="B17" s="281"/>
      <c r="C17" s="50" t="s">
        <v>767</v>
      </c>
      <c r="D17" s="50" t="s">
        <v>326</v>
      </c>
      <c r="E17" s="234">
        <v>1650</v>
      </c>
      <c r="F17" s="234">
        <v>1650</v>
      </c>
      <c r="G17" s="234">
        <v>1650</v>
      </c>
      <c r="H17" s="235">
        <v>742.5</v>
      </c>
      <c r="I17" s="235">
        <v>751.38</v>
      </c>
      <c r="J17" s="235">
        <v>751.38</v>
      </c>
    </row>
    <row r="18" spans="1:10" ht="31.5" x14ac:dyDescent="0.25">
      <c r="A18" s="218" t="s">
        <v>740</v>
      </c>
      <c r="B18" s="218" t="s">
        <v>741</v>
      </c>
      <c r="C18" s="50" t="s">
        <v>742</v>
      </c>
      <c r="D18" s="50" t="s">
        <v>743</v>
      </c>
      <c r="E18" s="237">
        <v>1393.89</v>
      </c>
      <c r="F18" s="237">
        <v>1393.89</v>
      </c>
      <c r="G18" s="237">
        <v>1393.89</v>
      </c>
      <c r="H18" s="237">
        <v>15041.4</v>
      </c>
      <c r="I18" s="237">
        <v>15041.4</v>
      </c>
      <c r="J18" s="237">
        <v>15041.4</v>
      </c>
    </row>
    <row r="19" spans="1:10" ht="31.5" x14ac:dyDescent="0.25">
      <c r="A19" s="218" t="s">
        <v>744</v>
      </c>
      <c r="B19" s="218" t="s">
        <v>745</v>
      </c>
      <c r="C19" s="50" t="s">
        <v>746</v>
      </c>
      <c r="D19" s="50" t="s">
        <v>747</v>
      </c>
      <c r="E19" s="237">
        <f>475200+324000</f>
        <v>799200</v>
      </c>
      <c r="F19" s="237">
        <f>475200+324000</f>
        <v>799200</v>
      </c>
      <c r="G19" s="237">
        <f>475200+324000</f>
        <v>799200</v>
      </c>
      <c r="H19" s="237">
        <v>9900.7999999999993</v>
      </c>
      <c r="I19" s="237">
        <v>9900.7999999999993</v>
      </c>
      <c r="J19" s="237">
        <v>9900.7999999999993</v>
      </c>
    </row>
    <row r="20" spans="1:10" ht="47.25" x14ac:dyDescent="0.25">
      <c r="A20" s="218" t="s">
        <v>748</v>
      </c>
      <c r="B20" s="218" t="s">
        <v>320</v>
      </c>
      <c r="C20" s="50" t="s">
        <v>363</v>
      </c>
      <c r="D20" s="50" t="s">
        <v>226</v>
      </c>
      <c r="E20" s="237">
        <v>11640</v>
      </c>
      <c r="F20" s="237">
        <v>11640</v>
      </c>
      <c r="G20" s="237">
        <v>11640</v>
      </c>
      <c r="H20" s="237">
        <v>41226.07</v>
      </c>
      <c r="I20" s="237">
        <v>41226.07</v>
      </c>
      <c r="J20" s="237">
        <v>41226.07</v>
      </c>
    </row>
    <row r="21" spans="1:10" ht="47.25" x14ac:dyDescent="0.25">
      <c r="A21" s="218" t="s">
        <v>749</v>
      </c>
      <c r="B21" s="218" t="s">
        <v>320</v>
      </c>
      <c r="C21" s="50" t="s">
        <v>321</v>
      </c>
      <c r="D21" s="50" t="s">
        <v>750</v>
      </c>
      <c r="E21" s="237">
        <v>3156123.5</v>
      </c>
      <c r="F21" s="237">
        <v>3156123.5</v>
      </c>
      <c r="G21" s="237">
        <v>3156123.5</v>
      </c>
      <c r="H21" s="237">
        <v>4248.3900000000003</v>
      </c>
      <c r="I21" s="237">
        <v>4248.3900000000003</v>
      </c>
      <c r="J21" s="237">
        <v>4248.3900000000003</v>
      </c>
    </row>
    <row r="22" spans="1:10" ht="47.25" x14ac:dyDescent="0.25">
      <c r="A22" s="218" t="s">
        <v>751</v>
      </c>
      <c r="B22" s="218" t="s">
        <v>752</v>
      </c>
      <c r="C22" s="50" t="s">
        <v>363</v>
      </c>
      <c r="D22" s="50" t="s">
        <v>226</v>
      </c>
      <c r="E22" s="237">
        <v>2992</v>
      </c>
      <c r="F22" s="237">
        <v>2992</v>
      </c>
      <c r="G22" s="237">
        <v>2992</v>
      </c>
      <c r="H22" s="237">
        <v>2968.53</v>
      </c>
      <c r="I22" s="237">
        <v>2968.53</v>
      </c>
      <c r="J22" s="237">
        <v>2968.53</v>
      </c>
    </row>
    <row r="23" spans="1:10" ht="47.25" x14ac:dyDescent="0.25">
      <c r="A23" s="218" t="s">
        <v>753</v>
      </c>
      <c r="B23" s="218" t="s">
        <v>320</v>
      </c>
      <c r="C23" s="50" t="s">
        <v>321</v>
      </c>
      <c r="D23" s="50" t="s">
        <v>750</v>
      </c>
      <c r="E23" s="237">
        <v>63410</v>
      </c>
      <c r="F23" s="237">
        <v>63410</v>
      </c>
      <c r="G23" s="237">
        <v>63410</v>
      </c>
      <c r="H23" s="237">
        <v>415.34</v>
      </c>
      <c r="I23" s="237">
        <v>415.34</v>
      </c>
      <c r="J23" s="237">
        <v>415.34</v>
      </c>
    </row>
    <row r="24" spans="1:10" ht="63" x14ac:dyDescent="0.25">
      <c r="A24" s="218" t="s">
        <v>754</v>
      </c>
      <c r="B24" s="218" t="s">
        <v>320</v>
      </c>
      <c r="C24" s="50" t="s">
        <v>363</v>
      </c>
      <c r="D24" s="50" t="s">
        <v>226</v>
      </c>
      <c r="E24" s="237">
        <v>6000</v>
      </c>
      <c r="F24" s="237">
        <v>6000</v>
      </c>
      <c r="G24" s="237">
        <v>6000</v>
      </c>
      <c r="H24" s="237">
        <v>414</v>
      </c>
      <c r="I24" s="237">
        <v>414</v>
      </c>
      <c r="J24" s="237">
        <v>414</v>
      </c>
    </row>
    <row r="25" spans="1:10" ht="63" x14ac:dyDescent="0.25">
      <c r="A25" s="218" t="s">
        <v>755</v>
      </c>
      <c r="B25" s="218" t="s">
        <v>320</v>
      </c>
      <c r="C25" s="50" t="s">
        <v>321</v>
      </c>
      <c r="D25" s="50" t="s">
        <v>750</v>
      </c>
      <c r="E25" s="237">
        <v>48881</v>
      </c>
      <c r="F25" s="237">
        <v>48881</v>
      </c>
      <c r="G25" s="237">
        <v>48881</v>
      </c>
      <c r="H25" s="237">
        <v>568.47</v>
      </c>
      <c r="I25" s="237">
        <v>568.47</v>
      </c>
      <c r="J25" s="237">
        <v>568.47</v>
      </c>
    </row>
    <row r="28" spans="1:10" ht="15.75" x14ac:dyDescent="0.25">
      <c r="A28" s="270"/>
      <c r="B28" s="270"/>
      <c r="C28" s="98" t="s">
        <v>3</v>
      </c>
      <c r="D28" s="98" t="s">
        <v>4</v>
      </c>
      <c r="E28" s="98" t="s">
        <v>5</v>
      </c>
    </row>
    <row r="29" spans="1:10" ht="54.6" customHeight="1" x14ac:dyDescent="0.25">
      <c r="A29" s="271" t="s">
        <v>248</v>
      </c>
      <c r="B29" s="272"/>
      <c r="C29" s="229">
        <v>82215.399999999994</v>
      </c>
      <c r="D29" s="229">
        <v>82304.3</v>
      </c>
      <c r="E29" s="229">
        <v>82304.3</v>
      </c>
    </row>
  </sheetData>
  <mergeCells count="13">
    <mergeCell ref="A28:B28"/>
    <mergeCell ref="A29:B29"/>
    <mergeCell ref="A2:J2"/>
    <mergeCell ref="A3:J3"/>
    <mergeCell ref="A5:A6"/>
    <mergeCell ref="B5:B6"/>
    <mergeCell ref="C5:D5"/>
    <mergeCell ref="E5:G5"/>
    <mergeCell ref="H5:J5"/>
    <mergeCell ref="B8:B10"/>
    <mergeCell ref="B11:B17"/>
    <mergeCell ref="A8:A10"/>
    <mergeCell ref="A11:A17"/>
  </mergeCells>
  <pageMargins left="0.7" right="0.7" top="0.75" bottom="0.75" header="0.3" footer="0.3"/>
  <pageSetup paperSize="9" scale="4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0"/>
  <sheetViews>
    <sheetView topLeftCell="B1" zoomScale="85" zoomScaleNormal="85" zoomScaleSheetLayoutView="100" workbookViewId="0">
      <selection activeCell="B5" sqref="B5"/>
    </sheetView>
  </sheetViews>
  <sheetFormatPr defaultColWidth="8.85546875" defaultRowHeight="15" x14ac:dyDescent="0.25"/>
  <cols>
    <col min="1" max="1" width="9.140625" style="3" hidden="1" customWidth="1"/>
    <col min="2" max="2" width="16" style="3" customWidth="1"/>
    <col min="3" max="3" width="34" style="3" customWidth="1"/>
    <col min="4" max="10" width="14.7109375" style="3" customWidth="1"/>
    <col min="11" max="11" width="14.28515625" style="3" customWidth="1"/>
    <col min="12" max="16384" width="8.85546875" style="3"/>
  </cols>
  <sheetData>
    <row r="1" spans="1:11" ht="15.6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50.25" customHeight="1" x14ac:dyDescent="0.25">
      <c r="A2" s="310" t="s">
        <v>11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</row>
    <row r="3" spans="1:11" ht="15.75" x14ac:dyDescent="0.25">
      <c r="A3" s="311" t="s">
        <v>204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</row>
    <row r="4" spans="1:11" x14ac:dyDescent="0.25">
      <c r="A4" s="312" t="s">
        <v>0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</row>
    <row r="5" spans="1:11" ht="14.45" x14ac:dyDescent="0.3">
      <c r="K5" s="1"/>
    </row>
    <row r="6" spans="1:11" ht="50.25" customHeight="1" x14ac:dyDescent="0.25">
      <c r="A6" s="315" t="s">
        <v>10</v>
      </c>
      <c r="B6" s="314" t="s">
        <v>10</v>
      </c>
      <c r="C6" s="314" t="s">
        <v>6</v>
      </c>
      <c r="D6" s="313" t="s">
        <v>7</v>
      </c>
      <c r="E6" s="313"/>
      <c r="F6" s="313" t="s">
        <v>8</v>
      </c>
      <c r="G6" s="313"/>
      <c r="H6" s="313"/>
      <c r="I6" s="313" t="s">
        <v>9</v>
      </c>
      <c r="J6" s="313"/>
      <c r="K6" s="313"/>
    </row>
    <row r="7" spans="1:11" ht="48" thickBot="1" x14ac:dyDescent="0.3">
      <c r="A7" s="316"/>
      <c r="B7" s="314"/>
      <c r="C7" s="314"/>
      <c r="D7" s="6" t="s">
        <v>1</v>
      </c>
      <c r="E7" s="6" t="s">
        <v>2</v>
      </c>
      <c r="F7" s="8" t="s">
        <v>3</v>
      </c>
      <c r="G7" s="7" t="s">
        <v>4</v>
      </c>
      <c r="H7" s="7" t="s">
        <v>5</v>
      </c>
      <c r="I7" s="8" t="s">
        <v>3</v>
      </c>
      <c r="J7" s="7" t="s">
        <v>4</v>
      </c>
      <c r="K7" s="7" t="s">
        <v>5</v>
      </c>
    </row>
    <row r="8" spans="1:11" s="28" customFormat="1" ht="63" x14ac:dyDescent="0.25">
      <c r="A8" s="22" t="s">
        <v>143</v>
      </c>
      <c r="B8" s="9" t="s">
        <v>161</v>
      </c>
      <c r="C8" s="38" t="s">
        <v>12</v>
      </c>
      <c r="D8" s="40" t="s">
        <v>20</v>
      </c>
      <c r="E8" s="23" t="s">
        <v>22</v>
      </c>
      <c r="F8" s="24">
        <v>6750</v>
      </c>
      <c r="G8" s="25">
        <v>6830</v>
      </c>
      <c r="H8" s="25">
        <v>7590</v>
      </c>
      <c r="I8" s="26">
        <v>1438.8</v>
      </c>
      <c r="J8" s="27">
        <f>I8</f>
        <v>1438.8</v>
      </c>
      <c r="K8" s="27">
        <f>I8</f>
        <v>1438.8</v>
      </c>
    </row>
    <row r="9" spans="1:11" s="28" customFormat="1" ht="63" x14ac:dyDescent="0.25">
      <c r="A9" s="29" t="s">
        <v>143</v>
      </c>
      <c r="B9" s="9" t="s">
        <v>161</v>
      </c>
      <c r="C9" s="38" t="s">
        <v>13</v>
      </c>
      <c r="D9" s="40" t="s">
        <v>20</v>
      </c>
      <c r="E9" s="23" t="s">
        <v>22</v>
      </c>
      <c r="F9" s="24">
        <v>100</v>
      </c>
      <c r="G9" s="25">
        <v>105</v>
      </c>
      <c r="H9" s="25">
        <v>110</v>
      </c>
      <c r="I9" s="26">
        <v>845.9</v>
      </c>
      <c r="J9" s="27">
        <f t="shared" ref="J9:J22" si="0">I9</f>
        <v>845.9</v>
      </c>
      <c r="K9" s="27">
        <f t="shared" ref="K9:K22" si="1">I9</f>
        <v>845.9</v>
      </c>
    </row>
    <row r="10" spans="1:11" s="28" customFormat="1" ht="78.75" x14ac:dyDescent="0.25">
      <c r="A10" s="29" t="s">
        <v>143</v>
      </c>
      <c r="B10" s="9" t="s">
        <v>166</v>
      </c>
      <c r="C10" s="38" t="s">
        <v>14</v>
      </c>
      <c r="D10" s="40" t="s">
        <v>23</v>
      </c>
      <c r="E10" s="23" t="s">
        <v>22</v>
      </c>
      <c r="F10" s="24">
        <v>160000</v>
      </c>
      <c r="G10" s="25">
        <v>162000</v>
      </c>
      <c r="H10" s="25">
        <v>164000</v>
      </c>
      <c r="I10" s="26">
        <v>2924.5</v>
      </c>
      <c r="J10" s="27">
        <f t="shared" si="0"/>
        <v>2924.5</v>
      </c>
      <c r="K10" s="27">
        <f t="shared" si="1"/>
        <v>2924.5</v>
      </c>
    </row>
    <row r="11" spans="1:11" s="28" customFormat="1" ht="78.75" x14ac:dyDescent="0.25">
      <c r="A11" s="29" t="s">
        <v>143</v>
      </c>
      <c r="B11" s="9" t="s">
        <v>166</v>
      </c>
      <c r="C11" s="38" t="s">
        <v>15</v>
      </c>
      <c r="D11" s="40" t="s">
        <v>21</v>
      </c>
      <c r="E11" s="23" t="s">
        <v>22</v>
      </c>
      <c r="F11" s="24">
        <v>4703</v>
      </c>
      <c r="G11" s="25">
        <v>4755</v>
      </c>
      <c r="H11" s="25">
        <v>4870</v>
      </c>
      <c r="I11" s="26">
        <v>4085.6</v>
      </c>
      <c r="J11" s="27">
        <f t="shared" si="0"/>
        <v>4085.6</v>
      </c>
      <c r="K11" s="27">
        <f t="shared" si="1"/>
        <v>4085.6</v>
      </c>
    </row>
    <row r="12" spans="1:11" s="28" customFormat="1" ht="31.5" x14ac:dyDescent="0.25">
      <c r="A12" s="29" t="s">
        <v>137</v>
      </c>
      <c r="B12" s="9" t="s">
        <v>158</v>
      </c>
      <c r="C12" s="38" t="s">
        <v>30</v>
      </c>
      <c r="D12" s="40" t="s">
        <v>32</v>
      </c>
      <c r="E12" s="23" t="s">
        <v>33</v>
      </c>
      <c r="F12" s="24">
        <v>1450</v>
      </c>
      <c r="G12" s="25">
        <v>1500</v>
      </c>
      <c r="H12" s="25">
        <v>1550</v>
      </c>
      <c r="I12" s="26">
        <v>253</v>
      </c>
      <c r="J12" s="27">
        <f t="shared" si="0"/>
        <v>253</v>
      </c>
      <c r="K12" s="27">
        <f t="shared" si="1"/>
        <v>253</v>
      </c>
    </row>
    <row r="13" spans="1:11" s="28" customFormat="1" ht="31.5" x14ac:dyDescent="0.25">
      <c r="A13" s="29" t="s">
        <v>137</v>
      </c>
      <c r="B13" s="9" t="s">
        <v>158</v>
      </c>
      <c r="C13" s="38" t="s">
        <v>31</v>
      </c>
      <c r="D13" s="40" t="s">
        <v>32</v>
      </c>
      <c r="E13" s="23" t="s">
        <v>33</v>
      </c>
      <c r="F13" s="24">
        <v>5550</v>
      </c>
      <c r="G13" s="25">
        <v>5600</v>
      </c>
      <c r="H13" s="25">
        <v>5650</v>
      </c>
      <c r="I13" s="26">
        <v>748.5</v>
      </c>
      <c r="J13" s="27">
        <f t="shared" si="0"/>
        <v>748.5</v>
      </c>
      <c r="K13" s="27">
        <f t="shared" si="1"/>
        <v>748.5</v>
      </c>
    </row>
    <row r="14" spans="1:11" s="28" customFormat="1" ht="78.75" x14ac:dyDescent="0.25">
      <c r="A14" s="29" t="s">
        <v>143</v>
      </c>
      <c r="B14" s="9" t="s">
        <v>162</v>
      </c>
      <c r="C14" s="39" t="s">
        <v>16</v>
      </c>
      <c r="D14" s="41" t="s">
        <v>24</v>
      </c>
      <c r="E14" s="23" t="s">
        <v>22</v>
      </c>
      <c r="F14" s="24">
        <v>2124941</v>
      </c>
      <c r="G14" s="25">
        <v>2142141</v>
      </c>
      <c r="H14" s="25">
        <v>2151291</v>
      </c>
      <c r="I14" s="26">
        <v>16757</v>
      </c>
      <c r="J14" s="27">
        <f t="shared" si="0"/>
        <v>16757</v>
      </c>
      <c r="K14" s="27">
        <f t="shared" si="1"/>
        <v>16757</v>
      </c>
    </row>
    <row r="15" spans="1:11" s="28" customFormat="1" ht="37.5" customHeight="1" x14ac:dyDescent="0.25">
      <c r="A15" s="29" t="s">
        <v>143</v>
      </c>
      <c r="B15" s="9" t="s">
        <v>163</v>
      </c>
      <c r="C15" s="39" t="s">
        <v>205</v>
      </c>
      <c r="D15" s="41" t="s">
        <v>25</v>
      </c>
      <c r="E15" s="23" t="s">
        <v>22</v>
      </c>
      <c r="F15" s="24">
        <v>16650</v>
      </c>
      <c r="G15" s="25">
        <v>16200</v>
      </c>
      <c r="H15" s="25">
        <v>8050</v>
      </c>
      <c r="I15" s="26">
        <v>858.9</v>
      </c>
      <c r="J15" s="27">
        <f t="shared" si="0"/>
        <v>858.9</v>
      </c>
      <c r="K15" s="27">
        <f t="shared" si="1"/>
        <v>858.9</v>
      </c>
    </row>
    <row r="16" spans="1:11" s="28" customFormat="1" ht="65.25" customHeight="1" x14ac:dyDescent="0.25">
      <c r="A16" s="29" t="s">
        <v>143</v>
      </c>
      <c r="B16" s="9" t="s">
        <v>163</v>
      </c>
      <c r="C16" s="39" t="s">
        <v>196</v>
      </c>
      <c r="D16" s="41" t="s">
        <v>26</v>
      </c>
      <c r="E16" s="23" t="s">
        <v>22</v>
      </c>
      <c r="F16" s="24">
        <v>1000</v>
      </c>
      <c r="G16" s="25">
        <v>1000</v>
      </c>
      <c r="H16" s="25">
        <v>1000</v>
      </c>
      <c r="I16" s="26">
        <v>268.2</v>
      </c>
      <c r="J16" s="27">
        <f t="shared" si="0"/>
        <v>268.2</v>
      </c>
      <c r="K16" s="27">
        <f t="shared" si="1"/>
        <v>268.2</v>
      </c>
    </row>
    <row r="17" spans="1:11" s="28" customFormat="1" ht="33.950000000000003" customHeight="1" x14ac:dyDescent="0.25">
      <c r="A17" s="29" t="s">
        <v>143</v>
      </c>
      <c r="B17" s="9" t="s">
        <v>163</v>
      </c>
      <c r="C17" s="39" t="s">
        <v>195</v>
      </c>
      <c r="D17" s="41" t="s">
        <v>197</v>
      </c>
      <c r="E17" s="23" t="s">
        <v>22</v>
      </c>
      <c r="F17" s="24">
        <v>14400</v>
      </c>
      <c r="G17" s="25">
        <v>14900</v>
      </c>
      <c r="H17" s="25">
        <v>15250</v>
      </c>
      <c r="I17" s="26">
        <v>649.4</v>
      </c>
      <c r="J17" s="27">
        <f t="shared" si="0"/>
        <v>649.4</v>
      </c>
      <c r="K17" s="27">
        <f t="shared" si="1"/>
        <v>649.4</v>
      </c>
    </row>
    <row r="18" spans="1:11" s="28" customFormat="1" ht="78.75" x14ac:dyDescent="0.25">
      <c r="A18" s="29" t="s">
        <v>143</v>
      </c>
      <c r="B18" s="9" t="s">
        <v>164</v>
      </c>
      <c r="C18" s="39" t="s">
        <v>17</v>
      </c>
      <c r="D18" s="41" t="s">
        <v>27</v>
      </c>
      <c r="E18" s="23" t="s">
        <v>22</v>
      </c>
      <c r="F18" s="24">
        <v>2050</v>
      </c>
      <c r="G18" s="25">
        <v>2110</v>
      </c>
      <c r="H18" s="25">
        <v>2170</v>
      </c>
      <c r="I18" s="26">
        <v>257.3</v>
      </c>
      <c r="J18" s="27">
        <f t="shared" si="0"/>
        <v>257.3</v>
      </c>
      <c r="K18" s="27">
        <f t="shared" si="1"/>
        <v>257.3</v>
      </c>
    </row>
    <row r="19" spans="1:11" s="28" customFormat="1" ht="53.1" customHeight="1" x14ac:dyDescent="0.25">
      <c r="A19" s="29" t="s">
        <v>143</v>
      </c>
      <c r="B19" s="9" t="s">
        <v>164</v>
      </c>
      <c r="C19" s="39" t="s">
        <v>18</v>
      </c>
      <c r="D19" s="41" t="s">
        <v>28</v>
      </c>
      <c r="E19" s="23" t="s">
        <v>22</v>
      </c>
      <c r="F19" s="24">
        <v>12770</v>
      </c>
      <c r="G19" s="25">
        <v>12840</v>
      </c>
      <c r="H19" s="25">
        <v>12980</v>
      </c>
      <c r="I19" s="26">
        <v>1293.0999999999999</v>
      </c>
      <c r="J19" s="27">
        <f t="shared" si="0"/>
        <v>1293.0999999999999</v>
      </c>
      <c r="K19" s="27">
        <f t="shared" si="1"/>
        <v>1293.0999999999999</v>
      </c>
    </row>
    <row r="20" spans="1:11" s="28" customFormat="1" ht="45" customHeight="1" x14ac:dyDescent="0.25">
      <c r="A20" s="29" t="s">
        <v>143</v>
      </c>
      <c r="B20" s="9" t="s">
        <v>165</v>
      </c>
      <c r="C20" s="39" t="s">
        <v>19</v>
      </c>
      <c r="D20" s="41" t="s">
        <v>29</v>
      </c>
      <c r="E20" s="23" t="s">
        <v>22</v>
      </c>
      <c r="F20" s="24">
        <v>507</v>
      </c>
      <c r="G20" s="25">
        <v>507</v>
      </c>
      <c r="H20" s="25">
        <v>507</v>
      </c>
      <c r="I20" s="26">
        <v>24.7</v>
      </c>
      <c r="J20" s="27">
        <f t="shared" si="0"/>
        <v>24.7</v>
      </c>
      <c r="K20" s="27">
        <f t="shared" si="1"/>
        <v>24.7</v>
      </c>
    </row>
    <row r="21" spans="1:11" s="28" customFormat="1" ht="63.75" x14ac:dyDescent="0.25">
      <c r="A21" s="29" t="s">
        <v>144</v>
      </c>
      <c r="B21" s="9" t="s">
        <v>203</v>
      </c>
      <c r="C21" s="39" t="s">
        <v>206</v>
      </c>
      <c r="D21" s="41" t="s">
        <v>199</v>
      </c>
      <c r="E21" s="23" t="s">
        <v>22</v>
      </c>
      <c r="F21" s="24">
        <v>10081</v>
      </c>
      <c r="G21" s="25">
        <v>10091</v>
      </c>
      <c r="H21" s="25">
        <v>10100</v>
      </c>
      <c r="I21" s="26">
        <v>2168.6999999999998</v>
      </c>
      <c r="J21" s="27">
        <f t="shared" si="0"/>
        <v>2168.6999999999998</v>
      </c>
      <c r="K21" s="27">
        <f t="shared" si="1"/>
        <v>2168.6999999999998</v>
      </c>
    </row>
    <row r="22" spans="1:11" s="28" customFormat="1" ht="64.5" thickBot="1" x14ac:dyDescent="0.3">
      <c r="A22" s="31" t="s">
        <v>144</v>
      </c>
      <c r="B22" s="9" t="s">
        <v>159</v>
      </c>
      <c r="C22" s="39" t="s">
        <v>207</v>
      </c>
      <c r="D22" s="41" t="s">
        <v>198</v>
      </c>
      <c r="E22" s="23" t="s">
        <v>22</v>
      </c>
      <c r="F22" s="24">
        <v>10081</v>
      </c>
      <c r="G22" s="25">
        <v>10091</v>
      </c>
      <c r="H22" s="25">
        <v>10100</v>
      </c>
      <c r="I22" s="26">
        <v>1634</v>
      </c>
      <c r="J22" s="27">
        <f t="shared" si="0"/>
        <v>1634</v>
      </c>
      <c r="K22" s="27">
        <f t="shared" si="1"/>
        <v>1634</v>
      </c>
    </row>
    <row r="23" spans="1:11" s="28" customFormat="1" ht="78.75" x14ac:dyDescent="0.25">
      <c r="A23" s="32" t="s">
        <v>143</v>
      </c>
      <c r="B23" s="9" t="s">
        <v>149</v>
      </c>
      <c r="C23" s="38" t="s">
        <v>34</v>
      </c>
      <c r="D23" s="40" t="s">
        <v>37</v>
      </c>
      <c r="E23" s="23" t="s">
        <v>22</v>
      </c>
      <c r="F23" s="24">
        <v>380100</v>
      </c>
      <c r="G23" s="25">
        <f>163170+181080+36050</f>
        <v>380300</v>
      </c>
      <c r="H23" s="25">
        <f>163500+181100+36100</f>
        <v>380700</v>
      </c>
      <c r="I23" s="26">
        <v>22331.4</v>
      </c>
      <c r="J23" s="27">
        <f>I23</f>
        <v>22331.4</v>
      </c>
      <c r="K23" s="27">
        <f>I23</f>
        <v>22331.4</v>
      </c>
    </row>
    <row r="24" spans="1:11" s="28" customFormat="1" ht="78.75" x14ac:dyDescent="0.25">
      <c r="A24" s="29" t="s">
        <v>143</v>
      </c>
      <c r="B24" s="9" t="s">
        <v>149</v>
      </c>
      <c r="C24" s="38" t="s">
        <v>35</v>
      </c>
      <c r="D24" s="40" t="s">
        <v>37</v>
      </c>
      <c r="E24" s="23" t="s">
        <v>22</v>
      </c>
      <c r="F24" s="24">
        <v>361970</v>
      </c>
      <c r="G24" s="25">
        <f>338340+20200+4000</f>
        <v>362540</v>
      </c>
      <c r="H24" s="25">
        <f>338500+20300+4500</f>
        <v>363300</v>
      </c>
      <c r="I24" s="26">
        <v>4894.3999999999996</v>
      </c>
      <c r="J24" s="27">
        <f t="shared" ref="J24:J29" si="2">I24</f>
        <v>4894.3999999999996</v>
      </c>
      <c r="K24" s="27">
        <f t="shared" ref="K24:K29" si="3">I24</f>
        <v>4894.3999999999996</v>
      </c>
    </row>
    <row r="25" spans="1:11" s="28" customFormat="1" ht="78.75" x14ac:dyDescent="0.25">
      <c r="A25" s="29" t="s">
        <v>143</v>
      </c>
      <c r="B25" s="9" t="s">
        <v>149</v>
      </c>
      <c r="C25" s="38" t="s">
        <v>36</v>
      </c>
      <c r="D25" s="40" t="s">
        <v>37</v>
      </c>
      <c r="E25" s="23" t="s">
        <v>22</v>
      </c>
      <c r="F25" s="24">
        <v>28360</v>
      </c>
      <c r="G25" s="25">
        <f>16020+12350</f>
        <v>28370</v>
      </c>
      <c r="H25" s="25">
        <f>16050+12350</f>
        <v>28400</v>
      </c>
      <c r="I25" s="26">
        <v>2425.9</v>
      </c>
      <c r="J25" s="27">
        <f t="shared" si="2"/>
        <v>2425.9</v>
      </c>
      <c r="K25" s="27">
        <f t="shared" si="3"/>
        <v>2425.9</v>
      </c>
    </row>
    <row r="26" spans="1:11" s="28" customFormat="1" ht="126" x14ac:dyDescent="0.25">
      <c r="A26" s="29" t="s">
        <v>143</v>
      </c>
      <c r="B26" s="9" t="s">
        <v>150</v>
      </c>
      <c r="C26" s="38" t="s">
        <v>38</v>
      </c>
      <c r="D26" s="40" t="s">
        <v>39</v>
      </c>
      <c r="E26" s="23" t="s">
        <v>22</v>
      </c>
      <c r="F26" s="24">
        <v>1998050</v>
      </c>
      <c r="G26" s="25">
        <f>1691680+344000+78670</f>
        <v>2114350</v>
      </c>
      <c r="H26" s="25">
        <f>1700000+350000+79000</f>
        <v>2129000</v>
      </c>
      <c r="I26" s="26">
        <v>7210.8</v>
      </c>
      <c r="J26" s="27">
        <f t="shared" si="2"/>
        <v>7210.8</v>
      </c>
      <c r="K26" s="27">
        <f t="shared" si="3"/>
        <v>7210.8</v>
      </c>
    </row>
    <row r="27" spans="1:11" s="28" customFormat="1" ht="63" x14ac:dyDescent="0.25">
      <c r="A27" s="29" t="s">
        <v>143</v>
      </c>
      <c r="B27" s="9" t="s">
        <v>151</v>
      </c>
      <c r="C27" s="39" t="s">
        <v>40</v>
      </c>
      <c r="D27" s="41" t="s">
        <v>43</v>
      </c>
      <c r="E27" s="30" t="s">
        <v>22</v>
      </c>
      <c r="F27" s="24">
        <v>2380304</v>
      </c>
      <c r="G27" s="25">
        <f>2034750+160200+190364</f>
        <v>2385314</v>
      </c>
      <c r="H27" s="25">
        <f>2034760+160300+192000</f>
        <v>2387060</v>
      </c>
      <c r="I27" s="26">
        <v>8300.2999999999993</v>
      </c>
      <c r="J27" s="27">
        <f t="shared" si="2"/>
        <v>8300.2999999999993</v>
      </c>
      <c r="K27" s="27">
        <f t="shared" si="3"/>
        <v>8300.2999999999993</v>
      </c>
    </row>
    <row r="28" spans="1:11" s="28" customFormat="1" ht="47.25" x14ac:dyDescent="0.25">
      <c r="A28" s="29" t="s">
        <v>143</v>
      </c>
      <c r="B28" s="9" t="s">
        <v>152</v>
      </c>
      <c r="C28" s="39" t="s">
        <v>41</v>
      </c>
      <c r="D28" s="41" t="s">
        <v>43</v>
      </c>
      <c r="E28" s="30" t="s">
        <v>22</v>
      </c>
      <c r="F28" s="24">
        <v>93250</v>
      </c>
      <c r="G28" s="25">
        <f>67200+16100+10000</f>
        <v>93300</v>
      </c>
      <c r="H28" s="25">
        <f>67200+16150+10000</f>
        <v>93350</v>
      </c>
      <c r="I28" s="26">
        <v>7803.1</v>
      </c>
      <c r="J28" s="27">
        <f t="shared" si="2"/>
        <v>7803.1</v>
      </c>
      <c r="K28" s="27">
        <f t="shared" si="3"/>
        <v>7803.1</v>
      </c>
    </row>
    <row r="29" spans="1:11" s="28" customFormat="1" ht="48" thickBot="1" x14ac:dyDescent="0.3">
      <c r="A29" s="33" t="s">
        <v>143</v>
      </c>
      <c r="B29" s="9" t="s">
        <v>153</v>
      </c>
      <c r="C29" s="39" t="s">
        <v>42</v>
      </c>
      <c r="D29" s="41" t="s">
        <v>43</v>
      </c>
      <c r="E29" s="30" t="s">
        <v>22</v>
      </c>
      <c r="F29" s="24">
        <v>84</v>
      </c>
      <c r="G29" s="25">
        <f>84</f>
        <v>84</v>
      </c>
      <c r="H29" s="25">
        <f>84</f>
        <v>84</v>
      </c>
      <c r="I29" s="26">
        <v>361.7</v>
      </c>
      <c r="J29" s="27">
        <f t="shared" si="2"/>
        <v>361.7</v>
      </c>
      <c r="K29" s="27">
        <f t="shared" si="3"/>
        <v>361.7</v>
      </c>
    </row>
    <row r="30" spans="1:11" s="28" customFormat="1" ht="63" x14ac:dyDescent="0.25">
      <c r="A30" s="22" t="s">
        <v>138</v>
      </c>
      <c r="B30" s="9" t="s">
        <v>154</v>
      </c>
      <c r="C30" s="38" t="s">
        <v>44</v>
      </c>
      <c r="D30" s="40" t="s">
        <v>47</v>
      </c>
      <c r="E30" s="23" t="s">
        <v>33</v>
      </c>
      <c r="F30" s="24">
        <v>200820</v>
      </c>
      <c r="G30" s="25">
        <f>114700+40500+46140</f>
        <v>201340</v>
      </c>
      <c r="H30" s="25">
        <f>114900+40500+46160</f>
        <v>201560</v>
      </c>
      <c r="I30" s="26">
        <v>18125.3</v>
      </c>
      <c r="J30" s="27">
        <f>I30</f>
        <v>18125.3</v>
      </c>
      <c r="K30" s="27">
        <f>I30</f>
        <v>18125.3</v>
      </c>
    </row>
    <row r="31" spans="1:11" s="28" customFormat="1" ht="47.25" x14ac:dyDescent="0.25">
      <c r="A31" s="29" t="s">
        <v>138</v>
      </c>
      <c r="B31" s="9" t="s">
        <v>154</v>
      </c>
      <c r="C31" s="38" t="s">
        <v>45</v>
      </c>
      <c r="D31" s="40" t="s">
        <v>47</v>
      </c>
      <c r="E31" s="23" t="s">
        <v>33</v>
      </c>
      <c r="F31" s="24">
        <v>36420</v>
      </c>
      <c r="G31" s="25">
        <f>24600+5650+6340</f>
        <v>36590</v>
      </c>
      <c r="H31" s="25">
        <f>24500+5950+6360</f>
        <v>36810</v>
      </c>
      <c r="I31" s="26">
        <v>2314.8000000000002</v>
      </c>
      <c r="J31" s="27">
        <f t="shared" ref="J31:J37" si="4">I31</f>
        <v>2314.8000000000002</v>
      </c>
      <c r="K31" s="27">
        <f t="shared" ref="K31:K37" si="5">I31</f>
        <v>2314.8000000000002</v>
      </c>
    </row>
    <row r="32" spans="1:11" s="28" customFormat="1" ht="63" x14ac:dyDescent="0.25">
      <c r="A32" s="29" t="s">
        <v>138</v>
      </c>
      <c r="B32" s="9" t="s">
        <v>154</v>
      </c>
      <c r="C32" s="38" t="s">
        <v>46</v>
      </c>
      <c r="D32" s="40" t="s">
        <v>47</v>
      </c>
      <c r="E32" s="23" t="s">
        <v>33</v>
      </c>
      <c r="F32" s="24">
        <v>1260</v>
      </c>
      <c r="G32" s="25">
        <f>500+300+470</f>
        <v>1270</v>
      </c>
      <c r="H32" s="25">
        <f>500+300+480</f>
        <v>1280</v>
      </c>
      <c r="I32" s="26">
        <v>23.9</v>
      </c>
      <c r="J32" s="27">
        <f t="shared" si="4"/>
        <v>23.9</v>
      </c>
      <c r="K32" s="27">
        <f t="shared" si="5"/>
        <v>23.9</v>
      </c>
    </row>
    <row r="33" spans="1:11" s="28" customFormat="1" ht="31.5" x14ac:dyDescent="0.25">
      <c r="A33" s="29" t="s">
        <v>138</v>
      </c>
      <c r="B33" s="9" t="s">
        <v>167</v>
      </c>
      <c r="C33" s="38" t="s">
        <v>48</v>
      </c>
      <c r="D33" s="40" t="s">
        <v>49</v>
      </c>
      <c r="E33" s="23" t="s">
        <v>22</v>
      </c>
      <c r="F33" s="25">
        <v>2790</v>
      </c>
      <c r="G33" s="25">
        <f>1860+680+270</f>
        <v>2810</v>
      </c>
      <c r="H33" s="25">
        <f>1865+685+280</f>
        <v>2830</v>
      </c>
      <c r="I33" s="27">
        <v>303.8</v>
      </c>
      <c r="J33" s="27">
        <f t="shared" si="4"/>
        <v>303.8</v>
      </c>
      <c r="K33" s="27">
        <f t="shared" si="5"/>
        <v>303.8</v>
      </c>
    </row>
    <row r="34" spans="1:11" s="28" customFormat="1" ht="63" x14ac:dyDescent="0.25">
      <c r="A34" s="29" t="s">
        <v>138</v>
      </c>
      <c r="B34" s="9" t="s">
        <v>168</v>
      </c>
      <c r="C34" s="39" t="s">
        <v>50</v>
      </c>
      <c r="D34" s="41" t="s">
        <v>208</v>
      </c>
      <c r="E34" s="30" t="s">
        <v>22</v>
      </c>
      <c r="F34" s="25">
        <v>164</v>
      </c>
      <c r="G34" s="25">
        <f>60+51+60</f>
        <v>171</v>
      </c>
      <c r="H34" s="25">
        <f>60+52+64</f>
        <v>176</v>
      </c>
      <c r="I34" s="27">
        <v>12963.2</v>
      </c>
      <c r="J34" s="27">
        <f t="shared" si="4"/>
        <v>12963.2</v>
      </c>
      <c r="K34" s="27">
        <f t="shared" si="5"/>
        <v>12963.2</v>
      </c>
    </row>
    <row r="35" spans="1:11" s="28" customFormat="1" ht="63" x14ac:dyDescent="0.25">
      <c r="A35" s="29" t="s">
        <v>138</v>
      </c>
      <c r="B35" s="9" t="s">
        <v>168</v>
      </c>
      <c r="C35" s="39" t="s">
        <v>51</v>
      </c>
      <c r="D35" s="41" t="s">
        <v>208</v>
      </c>
      <c r="E35" s="30" t="s">
        <v>22</v>
      </c>
      <c r="F35" s="25">
        <v>45</v>
      </c>
      <c r="G35" s="25">
        <f>35+4+7</f>
        <v>46</v>
      </c>
      <c r="H35" s="25">
        <f>35+4+8</f>
        <v>47</v>
      </c>
      <c r="I35" s="27">
        <v>1844.4</v>
      </c>
      <c r="J35" s="27">
        <f t="shared" si="4"/>
        <v>1844.4</v>
      </c>
      <c r="K35" s="27">
        <f t="shared" si="5"/>
        <v>1844.4</v>
      </c>
    </row>
    <row r="36" spans="1:11" s="28" customFormat="1" ht="63" x14ac:dyDescent="0.25">
      <c r="A36" s="29" t="s">
        <v>138</v>
      </c>
      <c r="B36" s="9" t="s">
        <v>155</v>
      </c>
      <c r="C36" s="39" t="s">
        <v>52</v>
      </c>
      <c r="D36" s="41" t="s">
        <v>54</v>
      </c>
      <c r="E36" s="30" t="s">
        <v>55</v>
      </c>
      <c r="F36" s="25">
        <v>1195</v>
      </c>
      <c r="G36" s="25">
        <f>825+255+120</f>
        <v>1200</v>
      </c>
      <c r="H36" s="25">
        <f>830+255+125</f>
        <v>1210</v>
      </c>
      <c r="I36" s="27">
        <v>1145.8</v>
      </c>
      <c r="J36" s="27">
        <f t="shared" si="4"/>
        <v>1145.8</v>
      </c>
      <c r="K36" s="27">
        <f t="shared" si="5"/>
        <v>1145.8</v>
      </c>
    </row>
    <row r="37" spans="1:11" s="28" customFormat="1" ht="63.75" thickBot="1" x14ac:dyDescent="0.3">
      <c r="A37" s="33" t="s">
        <v>138</v>
      </c>
      <c r="B37" s="9" t="s">
        <v>156</v>
      </c>
      <c r="C37" s="39" t="s">
        <v>53</v>
      </c>
      <c r="D37" s="41" t="s">
        <v>54</v>
      </c>
      <c r="E37" s="30" t="s">
        <v>55</v>
      </c>
      <c r="F37" s="25">
        <v>56</v>
      </c>
      <c r="G37" s="25">
        <f>29+5+22</f>
        <v>56</v>
      </c>
      <c r="H37" s="25">
        <f>29+5+22</f>
        <v>56</v>
      </c>
      <c r="I37" s="27">
        <v>8587.2000000000007</v>
      </c>
      <c r="J37" s="27">
        <f t="shared" si="4"/>
        <v>8587.2000000000007</v>
      </c>
      <c r="K37" s="27">
        <f t="shared" si="5"/>
        <v>8587.2000000000007</v>
      </c>
    </row>
    <row r="38" spans="1:11" s="28" customFormat="1" ht="25.9" customHeight="1" thickBot="1" x14ac:dyDescent="0.3">
      <c r="A38" s="10" t="s">
        <v>138</v>
      </c>
      <c r="B38" s="9" t="s">
        <v>169</v>
      </c>
      <c r="C38" s="39" t="s">
        <v>103</v>
      </c>
      <c r="D38" s="41" t="s">
        <v>104</v>
      </c>
      <c r="E38" s="30" t="s">
        <v>55</v>
      </c>
      <c r="F38" s="25">
        <v>150</v>
      </c>
      <c r="G38" s="25">
        <v>150</v>
      </c>
      <c r="H38" s="25">
        <v>150</v>
      </c>
      <c r="I38" s="27">
        <v>1030.7</v>
      </c>
      <c r="J38" s="27">
        <v>1030.7</v>
      </c>
      <c r="K38" s="34">
        <v>1030.7</v>
      </c>
    </row>
    <row r="39" spans="1:11" s="28" customFormat="1" ht="126" x14ac:dyDescent="0.25">
      <c r="A39" s="22" t="s">
        <v>139</v>
      </c>
      <c r="B39" s="9" t="s">
        <v>157</v>
      </c>
      <c r="C39" s="38" t="s">
        <v>56</v>
      </c>
      <c r="D39" s="40" t="s">
        <v>57</v>
      </c>
      <c r="E39" s="23" t="s">
        <v>78</v>
      </c>
      <c r="F39" s="25">
        <v>1</v>
      </c>
      <c r="G39" s="25">
        <v>1</v>
      </c>
      <c r="H39" s="25">
        <v>1</v>
      </c>
      <c r="I39" s="27">
        <v>895.5</v>
      </c>
      <c r="J39" s="27">
        <f>I39</f>
        <v>895.5</v>
      </c>
      <c r="K39" s="34">
        <f>I39</f>
        <v>895.5</v>
      </c>
    </row>
    <row r="40" spans="1:11" s="28" customFormat="1" ht="63.75" thickBot="1" x14ac:dyDescent="0.3">
      <c r="A40" s="33" t="s">
        <v>140</v>
      </c>
      <c r="B40" s="9" t="s">
        <v>160</v>
      </c>
      <c r="C40" s="38" t="s">
        <v>58</v>
      </c>
      <c r="D40" s="40" t="s">
        <v>59</v>
      </c>
      <c r="E40" s="23" t="s">
        <v>22</v>
      </c>
      <c r="F40" s="25">
        <v>5</v>
      </c>
      <c r="G40" s="25">
        <v>5</v>
      </c>
      <c r="H40" s="25">
        <v>5</v>
      </c>
      <c r="I40" s="27">
        <v>1468.2</v>
      </c>
      <c r="J40" s="27">
        <f>I40</f>
        <v>1468.2</v>
      </c>
      <c r="K40" s="34">
        <f>I40</f>
        <v>1468.2</v>
      </c>
    </row>
    <row r="41" spans="1:11" s="28" customFormat="1" ht="47.25" x14ac:dyDescent="0.25">
      <c r="A41" s="32" t="s">
        <v>139</v>
      </c>
      <c r="B41" s="9" t="s">
        <v>145</v>
      </c>
      <c r="C41" s="38" t="s">
        <v>60</v>
      </c>
      <c r="D41" s="40" t="s">
        <v>32</v>
      </c>
      <c r="E41" s="23" t="s">
        <v>33</v>
      </c>
      <c r="F41" s="25">
        <v>11800</v>
      </c>
      <c r="G41" s="25">
        <v>11800</v>
      </c>
      <c r="H41" s="25">
        <v>11800</v>
      </c>
      <c r="I41" s="27">
        <v>28293.5</v>
      </c>
      <c r="J41" s="27">
        <f>I41</f>
        <v>28293.5</v>
      </c>
      <c r="K41" s="34">
        <f>I41</f>
        <v>28293.5</v>
      </c>
    </row>
    <row r="42" spans="1:11" s="28" customFormat="1" ht="47.25" x14ac:dyDescent="0.25">
      <c r="A42" s="35" t="s">
        <v>139</v>
      </c>
      <c r="B42" s="9" t="s">
        <v>145</v>
      </c>
      <c r="C42" s="38" t="s">
        <v>61</v>
      </c>
      <c r="D42" s="40" t="s">
        <v>32</v>
      </c>
      <c r="E42" s="23" t="s">
        <v>33</v>
      </c>
      <c r="F42" s="25">
        <v>13000</v>
      </c>
      <c r="G42" s="25">
        <v>13000</v>
      </c>
      <c r="H42" s="25">
        <v>13000</v>
      </c>
      <c r="I42" s="27">
        <v>8559.2999999999993</v>
      </c>
      <c r="J42" s="27">
        <f t="shared" ref="J42:J59" si="6">I42</f>
        <v>8559.2999999999993</v>
      </c>
      <c r="K42" s="34">
        <f t="shared" ref="K42:K59" si="7">I42</f>
        <v>8559.2999999999993</v>
      </c>
    </row>
    <row r="43" spans="1:11" s="28" customFormat="1" ht="47.25" x14ac:dyDescent="0.25">
      <c r="A43" s="29" t="s">
        <v>139</v>
      </c>
      <c r="B43" s="9" t="s">
        <v>145</v>
      </c>
      <c r="C43" s="38" t="s">
        <v>188</v>
      </c>
      <c r="D43" s="40" t="s">
        <v>32</v>
      </c>
      <c r="E43" s="23" t="s">
        <v>33</v>
      </c>
      <c r="F43" s="25">
        <v>1200</v>
      </c>
      <c r="G43" s="25">
        <v>1200</v>
      </c>
      <c r="H43" s="25">
        <v>1200</v>
      </c>
      <c r="I43" s="27">
        <v>2116.4</v>
      </c>
      <c r="J43" s="27">
        <f t="shared" si="6"/>
        <v>2116.4</v>
      </c>
      <c r="K43" s="34">
        <f t="shared" si="7"/>
        <v>2116.4</v>
      </c>
    </row>
    <row r="44" spans="1:11" s="28" customFormat="1" ht="47.25" x14ac:dyDescent="0.25">
      <c r="A44" s="29" t="s">
        <v>139</v>
      </c>
      <c r="B44" s="9" t="s">
        <v>145</v>
      </c>
      <c r="C44" s="38" t="s">
        <v>62</v>
      </c>
      <c r="D44" s="40" t="s">
        <v>32</v>
      </c>
      <c r="E44" s="23" t="s">
        <v>33</v>
      </c>
      <c r="F44" s="25">
        <v>10000</v>
      </c>
      <c r="G44" s="25">
        <v>10000</v>
      </c>
      <c r="H44" s="25">
        <v>10000</v>
      </c>
      <c r="I44" s="27">
        <v>12476.7</v>
      </c>
      <c r="J44" s="27">
        <f t="shared" si="6"/>
        <v>12476.7</v>
      </c>
      <c r="K44" s="34">
        <f t="shared" si="7"/>
        <v>12476.7</v>
      </c>
    </row>
    <row r="45" spans="1:11" s="28" customFormat="1" ht="47.25" x14ac:dyDescent="0.25">
      <c r="A45" s="29" t="s">
        <v>139</v>
      </c>
      <c r="B45" s="9" t="s">
        <v>145</v>
      </c>
      <c r="C45" s="38" t="s">
        <v>186</v>
      </c>
      <c r="D45" s="40" t="s">
        <v>32</v>
      </c>
      <c r="E45" s="23" t="s">
        <v>33</v>
      </c>
      <c r="F45" s="25">
        <v>700</v>
      </c>
      <c r="G45" s="25">
        <v>700</v>
      </c>
      <c r="H45" s="25">
        <v>700</v>
      </c>
      <c r="I45" s="27">
        <v>599.29999999999995</v>
      </c>
      <c r="J45" s="27">
        <f t="shared" si="6"/>
        <v>599.29999999999995</v>
      </c>
      <c r="K45" s="34">
        <f t="shared" si="7"/>
        <v>599.29999999999995</v>
      </c>
    </row>
    <row r="46" spans="1:11" s="28" customFormat="1" ht="63" x14ac:dyDescent="0.25">
      <c r="A46" s="29" t="s">
        <v>139</v>
      </c>
      <c r="B46" s="9" t="s">
        <v>145</v>
      </c>
      <c r="C46" s="38" t="s">
        <v>63</v>
      </c>
      <c r="D46" s="40" t="s">
        <v>32</v>
      </c>
      <c r="E46" s="23" t="s">
        <v>33</v>
      </c>
      <c r="F46" s="25">
        <v>26325</v>
      </c>
      <c r="G46" s="25">
        <v>26325</v>
      </c>
      <c r="H46" s="25">
        <v>26325</v>
      </c>
      <c r="I46" s="27">
        <v>26144.2</v>
      </c>
      <c r="J46" s="27">
        <f t="shared" si="6"/>
        <v>26144.2</v>
      </c>
      <c r="K46" s="34">
        <f t="shared" si="7"/>
        <v>26144.2</v>
      </c>
    </row>
    <row r="47" spans="1:11" s="28" customFormat="1" ht="63" x14ac:dyDescent="0.25">
      <c r="A47" s="29" t="s">
        <v>139</v>
      </c>
      <c r="B47" s="9" t="s">
        <v>145</v>
      </c>
      <c r="C47" s="38" t="s">
        <v>64</v>
      </c>
      <c r="D47" s="40" t="s">
        <v>32</v>
      </c>
      <c r="E47" s="23" t="s">
        <v>33</v>
      </c>
      <c r="F47" s="25">
        <v>2000</v>
      </c>
      <c r="G47" s="25">
        <v>2000</v>
      </c>
      <c r="H47" s="25">
        <v>2000</v>
      </c>
      <c r="I47" s="27">
        <v>1298.5999999999999</v>
      </c>
      <c r="J47" s="27">
        <f t="shared" si="6"/>
        <v>1298.5999999999999</v>
      </c>
      <c r="K47" s="34">
        <f t="shared" si="7"/>
        <v>1298.5999999999999</v>
      </c>
    </row>
    <row r="48" spans="1:11" s="28" customFormat="1" ht="47.25" x14ac:dyDescent="0.25">
      <c r="A48" s="29" t="s">
        <v>139</v>
      </c>
      <c r="B48" s="9" t="s">
        <v>145</v>
      </c>
      <c r="C48" s="38" t="s">
        <v>65</v>
      </c>
      <c r="D48" s="40" t="s">
        <v>32</v>
      </c>
      <c r="E48" s="23" t="s">
        <v>33</v>
      </c>
      <c r="F48" s="25">
        <v>99807</v>
      </c>
      <c r="G48" s="25">
        <v>100177</v>
      </c>
      <c r="H48" s="25">
        <v>100542</v>
      </c>
      <c r="I48" s="27">
        <v>58653</v>
      </c>
      <c r="J48" s="27">
        <f t="shared" si="6"/>
        <v>58653</v>
      </c>
      <c r="K48" s="34">
        <f t="shared" si="7"/>
        <v>58653</v>
      </c>
    </row>
    <row r="49" spans="1:11" s="28" customFormat="1" ht="47.25" x14ac:dyDescent="0.25">
      <c r="A49" s="29" t="s">
        <v>139</v>
      </c>
      <c r="B49" s="9" t="s">
        <v>145</v>
      </c>
      <c r="C49" s="38" t="s">
        <v>67</v>
      </c>
      <c r="D49" s="40" t="s">
        <v>32</v>
      </c>
      <c r="E49" s="23" t="s">
        <v>33</v>
      </c>
      <c r="F49" s="25">
        <v>9208</v>
      </c>
      <c r="G49" s="25">
        <v>9318</v>
      </c>
      <c r="H49" s="25">
        <v>9428</v>
      </c>
      <c r="I49" s="27">
        <v>6087.5</v>
      </c>
      <c r="J49" s="27">
        <f t="shared" si="6"/>
        <v>6087.5</v>
      </c>
      <c r="K49" s="34">
        <f t="shared" si="7"/>
        <v>6087.5</v>
      </c>
    </row>
    <row r="50" spans="1:11" s="28" customFormat="1" ht="47.25" x14ac:dyDescent="0.25">
      <c r="A50" s="29" t="s">
        <v>139</v>
      </c>
      <c r="B50" s="9" t="s">
        <v>145</v>
      </c>
      <c r="C50" s="38" t="s">
        <v>66</v>
      </c>
      <c r="D50" s="40" t="s">
        <v>32</v>
      </c>
      <c r="E50" s="23" t="s">
        <v>33</v>
      </c>
      <c r="F50" s="25">
        <v>51046</v>
      </c>
      <c r="G50" s="25">
        <v>51263</v>
      </c>
      <c r="H50" s="25">
        <v>51475</v>
      </c>
      <c r="I50" s="27">
        <v>13025.3</v>
      </c>
      <c r="J50" s="27">
        <f t="shared" si="6"/>
        <v>13025.3</v>
      </c>
      <c r="K50" s="34">
        <f t="shared" si="7"/>
        <v>13025.3</v>
      </c>
    </row>
    <row r="51" spans="1:11" s="28" customFormat="1" ht="47.25" x14ac:dyDescent="0.25">
      <c r="A51" s="29" t="s">
        <v>139</v>
      </c>
      <c r="B51" s="9" t="s">
        <v>145</v>
      </c>
      <c r="C51" s="38" t="s">
        <v>68</v>
      </c>
      <c r="D51" s="40" t="s">
        <v>32</v>
      </c>
      <c r="E51" s="23" t="s">
        <v>33</v>
      </c>
      <c r="F51" s="25">
        <v>985</v>
      </c>
      <c r="G51" s="25">
        <v>995</v>
      </c>
      <c r="H51" s="25">
        <v>1010</v>
      </c>
      <c r="I51" s="27">
        <v>395.2</v>
      </c>
      <c r="J51" s="27">
        <f t="shared" si="6"/>
        <v>395.2</v>
      </c>
      <c r="K51" s="34">
        <f t="shared" si="7"/>
        <v>395.2</v>
      </c>
    </row>
    <row r="52" spans="1:11" s="28" customFormat="1" ht="47.25" x14ac:dyDescent="0.25">
      <c r="A52" s="29" t="s">
        <v>139</v>
      </c>
      <c r="B52" s="9" t="s">
        <v>145</v>
      </c>
      <c r="C52" s="38" t="s">
        <v>69</v>
      </c>
      <c r="D52" s="40" t="s">
        <v>32</v>
      </c>
      <c r="E52" s="23" t="s">
        <v>33</v>
      </c>
      <c r="F52" s="25">
        <v>365</v>
      </c>
      <c r="G52" s="25">
        <v>370</v>
      </c>
      <c r="H52" s="25">
        <v>375</v>
      </c>
      <c r="I52" s="27">
        <v>136.6</v>
      </c>
      <c r="J52" s="27">
        <f t="shared" si="6"/>
        <v>136.6</v>
      </c>
      <c r="K52" s="34">
        <f t="shared" si="7"/>
        <v>136.6</v>
      </c>
    </row>
    <row r="53" spans="1:11" s="28" customFormat="1" ht="63" x14ac:dyDescent="0.25">
      <c r="A53" s="29" t="s">
        <v>139</v>
      </c>
      <c r="B53" s="9" t="s">
        <v>145</v>
      </c>
      <c r="C53" s="38" t="s">
        <v>70</v>
      </c>
      <c r="D53" s="40" t="s">
        <v>32</v>
      </c>
      <c r="E53" s="23" t="s">
        <v>33</v>
      </c>
      <c r="F53" s="25">
        <v>31700</v>
      </c>
      <c r="G53" s="25">
        <v>31800</v>
      </c>
      <c r="H53" s="25">
        <v>31900</v>
      </c>
      <c r="I53" s="27">
        <v>9383.2000000000007</v>
      </c>
      <c r="J53" s="27">
        <f t="shared" si="6"/>
        <v>9383.2000000000007</v>
      </c>
      <c r="K53" s="34">
        <f t="shared" si="7"/>
        <v>9383.2000000000007</v>
      </c>
    </row>
    <row r="54" spans="1:11" s="28" customFormat="1" ht="63" x14ac:dyDescent="0.25">
      <c r="A54" s="29" t="s">
        <v>139</v>
      </c>
      <c r="B54" s="9" t="s">
        <v>145</v>
      </c>
      <c r="C54" s="38" t="s">
        <v>72</v>
      </c>
      <c r="D54" s="40" t="s">
        <v>32</v>
      </c>
      <c r="E54" s="23" t="s">
        <v>33</v>
      </c>
      <c r="F54" s="25">
        <v>7900</v>
      </c>
      <c r="G54" s="25">
        <v>7900</v>
      </c>
      <c r="H54" s="25">
        <v>7900</v>
      </c>
      <c r="I54" s="27">
        <v>1809.3</v>
      </c>
      <c r="J54" s="27">
        <f t="shared" si="6"/>
        <v>1809.3</v>
      </c>
      <c r="K54" s="34">
        <f t="shared" si="7"/>
        <v>1809.3</v>
      </c>
    </row>
    <row r="55" spans="1:11" s="28" customFormat="1" ht="63" x14ac:dyDescent="0.25">
      <c r="A55" s="29" t="s">
        <v>139</v>
      </c>
      <c r="B55" s="9" t="s">
        <v>145</v>
      </c>
      <c r="C55" s="38" t="s">
        <v>71</v>
      </c>
      <c r="D55" s="40" t="s">
        <v>32</v>
      </c>
      <c r="E55" s="23" t="s">
        <v>33</v>
      </c>
      <c r="F55" s="25">
        <v>11937</v>
      </c>
      <c r="G55" s="25">
        <v>11937</v>
      </c>
      <c r="H55" s="25">
        <v>11937</v>
      </c>
      <c r="I55" s="27">
        <v>2596.4</v>
      </c>
      <c r="J55" s="27">
        <f t="shared" si="6"/>
        <v>2596.4</v>
      </c>
      <c r="K55" s="34">
        <f t="shared" si="7"/>
        <v>2596.4</v>
      </c>
    </row>
    <row r="56" spans="1:11" s="28" customFormat="1" ht="21.95" customHeight="1" x14ac:dyDescent="0.25">
      <c r="A56" s="29" t="s">
        <v>139</v>
      </c>
      <c r="B56" s="9" t="s">
        <v>147</v>
      </c>
      <c r="C56" s="39" t="s">
        <v>74</v>
      </c>
      <c r="D56" s="41" t="s">
        <v>75</v>
      </c>
      <c r="E56" s="30" t="s">
        <v>22</v>
      </c>
      <c r="F56" s="25">
        <v>1</v>
      </c>
      <c r="G56" s="25">
        <v>1</v>
      </c>
      <c r="H56" s="25">
        <v>1</v>
      </c>
      <c r="I56" s="27">
        <v>5673.8</v>
      </c>
      <c r="J56" s="27">
        <f t="shared" si="6"/>
        <v>5673.8</v>
      </c>
      <c r="K56" s="34">
        <f t="shared" si="7"/>
        <v>5673.8</v>
      </c>
    </row>
    <row r="57" spans="1:11" s="28" customFormat="1" ht="63.75" x14ac:dyDescent="0.25">
      <c r="A57" s="29" t="s">
        <v>139</v>
      </c>
      <c r="B57" s="9" t="s">
        <v>147</v>
      </c>
      <c r="C57" s="39" t="s">
        <v>73</v>
      </c>
      <c r="D57" s="41" t="s">
        <v>75</v>
      </c>
      <c r="E57" s="30" t="s">
        <v>22</v>
      </c>
      <c r="F57" s="25">
        <v>1</v>
      </c>
      <c r="G57" s="25">
        <v>1</v>
      </c>
      <c r="H57" s="25">
        <v>1</v>
      </c>
      <c r="I57" s="27">
        <v>1437.6</v>
      </c>
      <c r="J57" s="27">
        <f t="shared" si="6"/>
        <v>1437.6</v>
      </c>
      <c r="K57" s="34">
        <f t="shared" si="7"/>
        <v>1437.6</v>
      </c>
    </row>
    <row r="58" spans="1:11" s="28" customFormat="1" ht="63.75" x14ac:dyDescent="0.25">
      <c r="A58" s="29" t="s">
        <v>139</v>
      </c>
      <c r="B58" s="9" t="s">
        <v>147</v>
      </c>
      <c r="C58" s="39" t="s">
        <v>77</v>
      </c>
      <c r="D58" s="41" t="s">
        <v>75</v>
      </c>
      <c r="E58" s="30" t="s">
        <v>22</v>
      </c>
      <c r="F58" s="25">
        <v>4</v>
      </c>
      <c r="G58" s="25">
        <v>5</v>
      </c>
      <c r="H58" s="25">
        <v>4</v>
      </c>
      <c r="I58" s="27">
        <v>1678.5</v>
      </c>
      <c r="J58" s="27">
        <f t="shared" si="6"/>
        <v>1678.5</v>
      </c>
      <c r="K58" s="34">
        <f t="shared" si="7"/>
        <v>1678.5</v>
      </c>
    </row>
    <row r="59" spans="1:11" s="28" customFormat="1" ht="64.5" thickBot="1" x14ac:dyDescent="0.3">
      <c r="A59" s="35" t="s">
        <v>139</v>
      </c>
      <c r="B59" s="9" t="s">
        <v>147</v>
      </c>
      <c r="C59" s="39" t="s">
        <v>76</v>
      </c>
      <c r="D59" s="41" t="s">
        <v>75</v>
      </c>
      <c r="E59" s="30" t="s">
        <v>22</v>
      </c>
      <c r="F59" s="25">
        <v>17</v>
      </c>
      <c r="G59" s="25">
        <v>17</v>
      </c>
      <c r="H59" s="25">
        <v>17</v>
      </c>
      <c r="I59" s="27">
        <v>7977.5</v>
      </c>
      <c r="J59" s="27">
        <f t="shared" si="6"/>
        <v>7977.5</v>
      </c>
      <c r="K59" s="34">
        <f t="shared" si="7"/>
        <v>7977.5</v>
      </c>
    </row>
    <row r="60" spans="1:11" s="28" customFormat="1" ht="47.25" x14ac:dyDescent="0.25">
      <c r="A60" s="22" t="s">
        <v>139</v>
      </c>
      <c r="B60" s="9" t="s">
        <v>146</v>
      </c>
      <c r="C60" s="38" t="s">
        <v>79</v>
      </c>
      <c r="D60" s="40" t="s">
        <v>32</v>
      </c>
      <c r="E60" s="23" t="s">
        <v>33</v>
      </c>
      <c r="F60" s="25">
        <v>3200</v>
      </c>
      <c r="G60" s="25">
        <v>3200</v>
      </c>
      <c r="H60" s="25">
        <v>3200</v>
      </c>
      <c r="I60" s="27">
        <v>1398</v>
      </c>
      <c r="J60" s="27">
        <f>I60</f>
        <v>1398</v>
      </c>
      <c r="K60" s="34">
        <f>I60</f>
        <v>1398</v>
      </c>
    </row>
    <row r="61" spans="1:11" s="28" customFormat="1" ht="47.25" x14ac:dyDescent="0.25">
      <c r="A61" s="29" t="s">
        <v>139</v>
      </c>
      <c r="B61" s="9" t="s">
        <v>146</v>
      </c>
      <c r="C61" s="38" t="s">
        <v>80</v>
      </c>
      <c r="D61" s="40" t="s">
        <v>32</v>
      </c>
      <c r="E61" s="23" t="s">
        <v>33</v>
      </c>
      <c r="F61" s="25">
        <v>1400</v>
      </c>
      <c r="G61" s="25">
        <v>1400</v>
      </c>
      <c r="H61" s="25">
        <v>1400</v>
      </c>
      <c r="I61" s="27">
        <v>524.79999999999995</v>
      </c>
      <c r="J61" s="27">
        <f t="shared" ref="J61:J82" si="8">I61</f>
        <v>524.79999999999995</v>
      </c>
      <c r="K61" s="34">
        <f t="shared" ref="K61:K82" si="9">I61</f>
        <v>524.79999999999995</v>
      </c>
    </row>
    <row r="62" spans="1:11" s="28" customFormat="1" ht="63" x14ac:dyDescent="0.25">
      <c r="A62" s="29" t="s">
        <v>139</v>
      </c>
      <c r="B62" s="9" t="s">
        <v>146</v>
      </c>
      <c r="C62" s="38" t="s">
        <v>97</v>
      </c>
      <c r="D62" s="40" t="s">
        <v>32</v>
      </c>
      <c r="E62" s="23" t="s">
        <v>33</v>
      </c>
      <c r="F62" s="25">
        <v>2100</v>
      </c>
      <c r="G62" s="25">
        <v>2100</v>
      </c>
      <c r="H62" s="25">
        <v>2100</v>
      </c>
      <c r="I62" s="27">
        <v>2504.4</v>
      </c>
      <c r="J62" s="27">
        <f t="shared" si="8"/>
        <v>2504.4</v>
      </c>
      <c r="K62" s="34">
        <f t="shared" si="9"/>
        <v>2504.4</v>
      </c>
    </row>
    <row r="63" spans="1:11" s="28" customFormat="1" ht="47.25" x14ac:dyDescent="0.25">
      <c r="A63" s="29" t="s">
        <v>139</v>
      </c>
      <c r="B63" s="9" t="s">
        <v>146</v>
      </c>
      <c r="C63" s="38" t="s">
        <v>98</v>
      </c>
      <c r="D63" s="40" t="s">
        <v>32</v>
      </c>
      <c r="E63" s="23" t="s">
        <v>33</v>
      </c>
      <c r="F63" s="25">
        <v>5400</v>
      </c>
      <c r="G63" s="25">
        <v>5400</v>
      </c>
      <c r="H63" s="25">
        <v>5400</v>
      </c>
      <c r="I63" s="27">
        <v>4119.3999999999996</v>
      </c>
      <c r="J63" s="27">
        <f t="shared" si="8"/>
        <v>4119.3999999999996</v>
      </c>
      <c r="K63" s="34">
        <f t="shared" si="9"/>
        <v>4119.3999999999996</v>
      </c>
    </row>
    <row r="64" spans="1:11" s="28" customFormat="1" ht="63" x14ac:dyDescent="0.25">
      <c r="A64" s="29" t="s">
        <v>139</v>
      </c>
      <c r="B64" s="9" t="s">
        <v>146</v>
      </c>
      <c r="C64" s="38" t="s">
        <v>84</v>
      </c>
      <c r="D64" s="40" t="s">
        <v>32</v>
      </c>
      <c r="E64" s="23" t="s">
        <v>33</v>
      </c>
      <c r="F64" s="25">
        <v>4450</v>
      </c>
      <c r="G64" s="25">
        <v>4480</v>
      </c>
      <c r="H64" s="25">
        <v>4500</v>
      </c>
      <c r="I64" s="27">
        <v>1941.8</v>
      </c>
      <c r="J64" s="27">
        <f t="shared" si="8"/>
        <v>1941.8</v>
      </c>
      <c r="K64" s="34">
        <f t="shared" si="9"/>
        <v>1941.8</v>
      </c>
    </row>
    <row r="65" spans="1:11" s="28" customFormat="1" ht="63" x14ac:dyDescent="0.25">
      <c r="A65" s="29" t="s">
        <v>139</v>
      </c>
      <c r="B65" s="9" t="s">
        <v>146</v>
      </c>
      <c r="C65" s="38" t="s">
        <v>85</v>
      </c>
      <c r="D65" s="40" t="s">
        <v>32</v>
      </c>
      <c r="E65" s="23" t="s">
        <v>33</v>
      </c>
      <c r="F65" s="25">
        <v>35500</v>
      </c>
      <c r="G65" s="25">
        <v>35520</v>
      </c>
      <c r="H65" s="25">
        <v>35550</v>
      </c>
      <c r="I65" s="27">
        <v>16160</v>
      </c>
      <c r="J65" s="27">
        <f t="shared" si="8"/>
        <v>16160</v>
      </c>
      <c r="K65" s="34">
        <f t="shared" si="9"/>
        <v>16160</v>
      </c>
    </row>
    <row r="66" spans="1:11" s="28" customFormat="1" ht="47.25" x14ac:dyDescent="0.25">
      <c r="A66" s="29" t="s">
        <v>139</v>
      </c>
      <c r="B66" s="9" t="s">
        <v>146</v>
      </c>
      <c r="C66" s="38" t="s">
        <v>82</v>
      </c>
      <c r="D66" s="40" t="s">
        <v>32</v>
      </c>
      <c r="E66" s="23" t="s">
        <v>33</v>
      </c>
      <c r="F66" s="25">
        <v>10000</v>
      </c>
      <c r="G66" s="25">
        <v>10000</v>
      </c>
      <c r="H66" s="25">
        <v>10000</v>
      </c>
      <c r="I66" s="27">
        <v>2527.5</v>
      </c>
      <c r="J66" s="27">
        <f t="shared" si="8"/>
        <v>2527.5</v>
      </c>
      <c r="K66" s="34">
        <f t="shared" si="9"/>
        <v>2527.5</v>
      </c>
    </row>
    <row r="67" spans="1:11" s="28" customFormat="1" ht="47.25" x14ac:dyDescent="0.25">
      <c r="A67" s="29" t="s">
        <v>139</v>
      </c>
      <c r="B67" s="9" t="s">
        <v>146</v>
      </c>
      <c r="C67" s="38" t="s">
        <v>81</v>
      </c>
      <c r="D67" s="40" t="s">
        <v>32</v>
      </c>
      <c r="E67" s="23" t="s">
        <v>33</v>
      </c>
      <c r="F67" s="25">
        <v>17000</v>
      </c>
      <c r="G67" s="25">
        <v>17000</v>
      </c>
      <c r="H67" s="25">
        <v>17000</v>
      </c>
      <c r="I67" s="27">
        <v>3438.2</v>
      </c>
      <c r="J67" s="27">
        <f t="shared" si="8"/>
        <v>3438.2</v>
      </c>
      <c r="K67" s="34">
        <f t="shared" si="9"/>
        <v>3438.2</v>
      </c>
    </row>
    <row r="68" spans="1:11" s="28" customFormat="1" ht="47.25" x14ac:dyDescent="0.25">
      <c r="A68" s="29" t="s">
        <v>139</v>
      </c>
      <c r="B68" s="9" t="s">
        <v>146</v>
      </c>
      <c r="C68" s="38" t="s">
        <v>83</v>
      </c>
      <c r="D68" s="40" t="s">
        <v>32</v>
      </c>
      <c r="E68" s="23" t="s">
        <v>33</v>
      </c>
      <c r="F68" s="25">
        <v>40600</v>
      </c>
      <c r="G68" s="25">
        <v>40600</v>
      </c>
      <c r="H68" s="25">
        <v>40600</v>
      </c>
      <c r="I68" s="27">
        <v>8967.7999999999993</v>
      </c>
      <c r="J68" s="27">
        <f t="shared" si="8"/>
        <v>8967.7999999999993</v>
      </c>
      <c r="K68" s="34">
        <f t="shared" si="9"/>
        <v>8967.7999999999993</v>
      </c>
    </row>
    <row r="69" spans="1:11" s="28" customFormat="1" ht="47.25" x14ac:dyDescent="0.25">
      <c r="A69" s="29" t="s">
        <v>139</v>
      </c>
      <c r="B69" s="9" t="s">
        <v>146</v>
      </c>
      <c r="C69" s="38" t="s">
        <v>101</v>
      </c>
      <c r="D69" s="40" t="s">
        <v>32</v>
      </c>
      <c r="E69" s="23" t="s">
        <v>33</v>
      </c>
      <c r="F69" s="25">
        <v>3200</v>
      </c>
      <c r="G69" s="25">
        <v>3210</v>
      </c>
      <c r="H69" s="25">
        <v>3220</v>
      </c>
      <c r="I69" s="27">
        <v>2793.2</v>
      </c>
      <c r="J69" s="27">
        <f t="shared" si="8"/>
        <v>2793.2</v>
      </c>
      <c r="K69" s="34">
        <f t="shared" si="9"/>
        <v>2793.2</v>
      </c>
    </row>
    <row r="70" spans="1:11" s="28" customFormat="1" ht="47.25" x14ac:dyDescent="0.25">
      <c r="A70" s="29" t="s">
        <v>139</v>
      </c>
      <c r="B70" s="9" t="s">
        <v>146</v>
      </c>
      <c r="C70" s="38" t="s">
        <v>100</v>
      </c>
      <c r="D70" s="40" t="s">
        <v>32</v>
      </c>
      <c r="E70" s="23" t="s">
        <v>33</v>
      </c>
      <c r="F70" s="25">
        <v>3200</v>
      </c>
      <c r="G70" s="25">
        <v>3210</v>
      </c>
      <c r="H70" s="25">
        <v>3220</v>
      </c>
      <c r="I70" s="27">
        <v>2548.1999999999998</v>
      </c>
      <c r="J70" s="27">
        <f t="shared" si="8"/>
        <v>2548.1999999999998</v>
      </c>
      <c r="K70" s="34">
        <f t="shared" si="9"/>
        <v>2548.1999999999998</v>
      </c>
    </row>
    <row r="71" spans="1:11" s="28" customFormat="1" ht="47.25" x14ac:dyDescent="0.25">
      <c r="A71" s="29" t="s">
        <v>139</v>
      </c>
      <c r="B71" s="9" t="s">
        <v>146</v>
      </c>
      <c r="C71" s="38" t="s">
        <v>86</v>
      </c>
      <c r="D71" s="40" t="s">
        <v>32</v>
      </c>
      <c r="E71" s="23" t="s">
        <v>33</v>
      </c>
      <c r="F71" s="25">
        <v>1000</v>
      </c>
      <c r="G71" s="25">
        <v>1000</v>
      </c>
      <c r="H71" s="25">
        <v>1000</v>
      </c>
      <c r="I71" s="27">
        <v>440.1</v>
      </c>
      <c r="J71" s="27">
        <f t="shared" si="8"/>
        <v>440.1</v>
      </c>
      <c r="K71" s="34">
        <f t="shared" si="9"/>
        <v>440.1</v>
      </c>
    </row>
    <row r="72" spans="1:11" s="28" customFormat="1" ht="47.25" x14ac:dyDescent="0.25">
      <c r="A72" s="29" t="s">
        <v>139</v>
      </c>
      <c r="B72" s="9" t="s">
        <v>146</v>
      </c>
      <c r="C72" s="38" t="s">
        <v>87</v>
      </c>
      <c r="D72" s="40" t="s">
        <v>32</v>
      </c>
      <c r="E72" s="23" t="s">
        <v>33</v>
      </c>
      <c r="F72" s="25">
        <v>12300</v>
      </c>
      <c r="G72" s="25">
        <v>12310</v>
      </c>
      <c r="H72" s="25">
        <v>12320</v>
      </c>
      <c r="I72" s="27">
        <v>9136.7999999999993</v>
      </c>
      <c r="J72" s="27">
        <f t="shared" si="8"/>
        <v>9136.7999999999993</v>
      </c>
      <c r="K72" s="34">
        <f t="shared" si="9"/>
        <v>9136.7999999999993</v>
      </c>
    </row>
    <row r="73" spans="1:11" s="28" customFormat="1" ht="47.25" x14ac:dyDescent="0.25">
      <c r="A73" s="29" t="s">
        <v>139</v>
      </c>
      <c r="B73" s="9" t="s">
        <v>146</v>
      </c>
      <c r="C73" s="38" t="s">
        <v>88</v>
      </c>
      <c r="D73" s="40" t="s">
        <v>32</v>
      </c>
      <c r="E73" s="23" t="s">
        <v>33</v>
      </c>
      <c r="F73" s="25">
        <v>9000</v>
      </c>
      <c r="G73" s="25">
        <v>9000</v>
      </c>
      <c r="H73" s="25">
        <v>9000</v>
      </c>
      <c r="I73" s="27">
        <v>2323.1</v>
      </c>
      <c r="J73" s="27">
        <f t="shared" si="8"/>
        <v>2323.1</v>
      </c>
      <c r="K73" s="34">
        <f t="shared" si="9"/>
        <v>2323.1</v>
      </c>
    </row>
    <row r="74" spans="1:11" s="28" customFormat="1" ht="47.25" x14ac:dyDescent="0.25">
      <c r="A74" s="29" t="s">
        <v>139</v>
      </c>
      <c r="B74" s="9" t="s">
        <v>146</v>
      </c>
      <c r="C74" s="38" t="s">
        <v>89</v>
      </c>
      <c r="D74" s="40" t="s">
        <v>32</v>
      </c>
      <c r="E74" s="23" t="s">
        <v>33</v>
      </c>
      <c r="F74" s="25">
        <v>4000</v>
      </c>
      <c r="G74" s="25">
        <v>4000</v>
      </c>
      <c r="H74" s="25">
        <v>4000</v>
      </c>
      <c r="I74" s="27">
        <v>1442.6</v>
      </c>
      <c r="J74" s="27">
        <f t="shared" si="8"/>
        <v>1442.6</v>
      </c>
      <c r="K74" s="34">
        <f t="shared" si="9"/>
        <v>1442.6</v>
      </c>
    </row>
    <row r="75" spans="1:11" s="28" customFormat="1" ht="47.25" x14ac:dyDescent="0.25">
      <c r="A75" s="29" t="s">
        <v>139</v>
      </c>
      <c r="B75" s="9" t="s">
        <v>146</v>
      </c>
      <c r="C75" s="38" t="s">
        <v>90</v>
      </c>
      <c r="D75" s="40" t="s">
        <v>32</v>
      </c>
      <c r="E75" s="23" t="s">
        <v>33</v>
      </c>
      <c r="F75" s="25">
        <v>1700</v>
      </c>
      <c r="G75" s="25">
        <v>1700</v>
      </c>
      <c r="H75" s="25">
        <v>1700</v>
      </c>
      <c r="I75" s="27">
        <v>1759.3</v>
      </c>
      <c r="J75" s="27">
        <f t="shared" si="8"/>
        <v>1759.3</v>
      </c>
      <c r="K75" s="34">
        <f t="shared" si="9"/>
        <v>1759.3</v>
      </c>
    </row>
    <row r="76" spans="1:11" s="28" customFormat="1" ht="47.25" x14ac:dyDescent="0.25">
      <c r="A76" s="29" t="s">
        <v>139</v>
      </c>
      <c r="B76" s="9" t="s">
        <v>146</v>
      </c>
      <c r="C76" s="38" t="s">
        <v>91</v>
      </c>
      <c r="D76" s="40" t="s">
        <v>32</v>
      </c>
      <c r="E76" s="23" t="s">
        <v>33</v>
      </c>
      <c r="F76" s="25">
        <v>6600</v>
      </c>
      <c r="G76" s="25">
        <v>6615</v>
      </c>
      <c r="H76" s="25">
        <v>6630</v>
      </c>
      <c r="I76" s="27">
        <v>5814.2</v>
      </c>
      <c r="J76" s="27">
        <f t="shared" si="8"/>
        <v>5814.2</v>
      </c>
      <c r="K76" s="34">
        <f t="shared" si="9"/>
        <v>5814.2</v>
      </c>
    </row>
    <row r="77" spans="1:11" s="28" customFormat="1" ht="63.75" x14ac:dyDescent="0.25">
      <c r="A77" s="29" t="s">
        <v>139</v>
      </c>
      <c r="B77" s="9" t="s">
        <v>148</v>
      </c>
      <c r="C77" s="39" t="s">
        <v>92</v>
      </c>
      <c r="D77" s="41" t="s">
        <v>93</v>
      </c>
      <c r="E77" s="30" t="s">
        <v>22</v>
      </c>
      <c r="F77" s="25">
        <v>3</v>
      </c>
      <c r="G77" s="25">
        <v>2</v>
      </c>
      <c r="H77" s="25">
        <v>2</v>
      </c>
      <c r="I77" s="27">
        <v>1136.3</v>
      </c>
      <c r="J77" s="27">
        <f t="shared" si="8"/>
        <v>1136.3</v>
      </c>
      <c r="K77" s="34">
        <f t="shared" si="9"/>
        <v>1136.3</v>
      </c>
    </row>
    <row r="78" spans="1:11" s="28" customFormat="1" ht="63.75" x14ac:dyDescent="0.25">
      <c r="A78" s="29" t="s">
        <v>139</v>
      </c>
      <c r="B78" s="9" t="s">
        <v>148</v>
      </c>
      <c r="C78" s="39" t="s">
        <v>94</v>
      </c>
      <c r="D78" s="41" t="s">
        <v>93</v>
      </c>
      <c r="E78" s="30" t="s">
        <v>22</v>
      </c>
      <c r="F78" s="25">
        <v>3</v>
      </c>
      <c r="G78" s="25">
        <v>3</v>
      </c>
      <c r="H78" s="25">
        <v>3</v>
      </c>
      <c r="I78" s="27">
        <v>2309.4</v>
      </c>
      <c r="J78" s="27">
        <f t="shared" si="8"/>
        <v>2309.4</v>
      </c>
      <c r="K78" s="34">
        <f t="shared" si="9"/>
        <v>2309.4</v>
      </c>
    </row>
    <row r="79" spans="1:11" s="28" customFormat="1" ht="63.75" x14ac:dyDescent="0.25">
      <c r="A79" s="29" t="s">
        <v>139</v>
      </c>
      <c r="B79" s="9" t="s">
        <v>148</v>
      </c>
      <c r="C79" s="39" t="s">
        <v>95</v>
      </c>
      <c r="D79" s="41" t="s">
        <v>93</v>
      </c>
      <c r="E79" s="30" t="s">
        <v>22</v>
      </c>
      <c r="F79" s="25">
        <v>5</v>
      </c>
      <c r="G79" s="25">
        <v>6</v>
      </c>
      <c r="H79" s="25">
        <v>6</v>
      </c>
      <c r="I79" s="27">
        <v>2363.4</v>
      </c>
      <c r="J79" s="27">
        <f t="shared" si="8"/>
        <v>2363.4</v>
      </c>
      <c r="K79" s="34">
        <f t="shared" si="9"/>
        <v>2363.4</v>
      </c>
    </row>
    <row r="80" spans="1:11" s="28" customFormat="1" ht="63.75" x14ac:dyDescent="0.25">
      <c r="A80" s="29" t="s">
        <v>139</v>
      </c>
      <c r="B80" s="9" t="s">
        <v>148</v>
      </c>
      <c r="C80" s="39" t="s">
        <v>96</v>
      </c>
      <c r="D80" s="41" t="s">
        <v>93</v>
      </c>
      <c r="E80" s="30" t="s">
        <v>22</v>
      </c>
      <c r="F80" s="25">
        <v>2</v>
      </c>
      <c r="G80" s="25">
        <v>2</v>
      </c>
      <c r="H80" s="25">
        <v>2</v>
      </c>
      <c r="I80" s="27">
        <v>647</v>
      </c>
      <c r="J80" s="27">
        <f t="shared" si="8"/>
        <v>647</v>
      </c>
      <c r="K80" s="34">
        <f t="shared" si="9"/>
        <v>647</v>
      </c>
    </row>
    <row r="81" spans="1:11" s="28" customFormat="1" ht="63.75" x14ac:dyDescent="0.25">
      <c r="A81" s="29" t="s">
        <v>139</v>
      </c>
      <c r="B81" s="9" t="s">
        <v>148</v>
      </c>
      <c r="C81" s="39" t="s">
        <v>99</v>
      </c>
      <c r="D81" s="41" t="s">
        <v>93</v>
      </c>
      <c r="E81" s="30" t="s">
        <v>22</v>
      </c>
      <c r="F81" s="25">
        <v>2</v>
      </c>
      <c r="G81" s="25">
        <v>2</v>
      </c>
      <c r="H81" s="25">
        <v>2</v>
      </c>
      <c r="I81" s="27">
        <v>3152</v>
      </c>
      <c r="J81" s="27">
        <f t="shared" si="8"/>
        <v>3152</v>
      </c>
      <c r="K81" s="34">
        <f t="shared" si="9"/>
        <v>3152</v>
      </c>
    </row>
    <row r="82" spans="1:11" s="28" customFormat="1" ht="64.5" thickBot="1" x14ac:dyDescent="0.3">
      <c r="A82" s="35" t="s">
        <v>139</v>
      </c>
      <c r="B82" s="9" t="s">
        <v>148</v>
      </c>
      <c r="C82" s="39" t="s">
        <v>102</v>
      </c>
      <c r="D82" s="41" t="s">
        <v>93</v>
      </c>
      <c r="E82" s="30" t="s">
        <v>22</v>
      </c>
      <c r="F82" s="25">
        <v>2</v>
      </c>
      <c r="G82" s="25">
        <v>2</v>
      </c>
      <c r="H82" s="25">
        <v>2</v>
      </c>
      <c r="I82" s="27">
        <v>3152</v>
      </c>
      <c r="J82" s="27">
        <f t="shared" si="8"/>
        <v>3152</v>
      </c>
      <c r="K82" s="34">
        <f t="shared" si="9"/>
        <v>3152</v>
      </c>
    </row>
    <row r="83" spans="1:11" s="28" customFormat="1" ht="47.25" x14ac:dyDescent="0.25">
      <c r="A83" s="22" t="s">
        <v>139</v>
      </c>
      <c r="B83" s="9" t="s">
        <v>201</v>
      </c>
      <c r="C83" s="39" t="s">
        <v>190</v>
      </c>
      <c r="D83" s="40" t="s">
        <v>107</v>
      </c>
      <c r="E83" s="23" t="s">
        <v>78</v>
      </c>
      <c r="F83" s="25">
        <f>20+85+30+4</f>
        <v>139</v>
      </c>
      <c r="G83" s="25">
        <f>30+10+4+6+40+20+25+4</f>
        <v>139</v>
      </c>
      <c r="H83" s="25">
        <f>30+10+4+6+40+20+25+4</f>
        <v>139</v>
      </c>
      <c r="I83" s="27">
        <f>272.5+992.7+407.2+30.4</f>
        <v>1702.8000000000002</v>
      </c>
      <c r="J83" s="27">
        <f>I83</f>
        <v>1702.8000000000002</v>
      </c>
      <c r="K83" s="34">
        <f>I83</f>
        <v>1702.8000000000002</v>
      </c>
    </row>
    <row r="84" spans="1:11" s="28" customFormat="1" ht="38.25" x14ac:dyDescent="0.25">
      <c r="A84" s="29" t="s">
        <v>139</v>
      </c>
      <c r="B84" s="9" t="s">
        <v>201</v>
      </c>
      <c r="C84" s="39" t="s">
        <v>105</v>
      </c>
      <c r="D84" s="40" t="s">
        <v>107</v>
      </c>
      <c r="E84" s="23" t="s">
        <v>78</v>
      </c>
      <c r="F84" s="25">
        <f>5+4</f>
        <v>9</v>
      </c>
      <c r="G84" s="25">
        <f>5+4</f>
        <v>9</v>
      </c>
      <c r="H84" s="25">
        <f>5+4</f>
        <v>9</v>
      </c>
      <c r="I84" s="27">
        <f>6157+828.7</f>
        <v>6985.7</v>
      </c>
      <c r="J84" s="27">
        <f t="shared" ref="J84:J85" si="10">I84</f>
        <v>6985.7</v>
      </c>
      <c r="K84" s="34">
        <f t="shared" ref="K84:K85" si="11">I84</f>
        <v>6985.7</v>
      </c>
    </row>
    <row r="85" spans="1:11" s="28" customFormat="1" ht="35.85" customHeight="1" thickBot="1" x14ac:dyDescent="0.3">
      <c r="A85" s="33" t="s">
        <v>139</v>
      </c>
      <c r="B85" s="9" t="s">
        <v>201</v>
      </c>
      <c r="C85" s="39" t="s">
        <v>106</v>
      </c>
      <c r="D85" s="40" t="s">
        <v>107</v>
      </c>
      <c r="E85" s="23" t="s">
        <v>78</v>
      </c>
      <c r="F85" s="25">
        <f>8+8</f>
        <v>16</v>
      </c>
      <c r="G85" s="25">
        <f>8+8</f>
        <v>16</v>
      </c>
      <c r="H85" s="25">
        <f>8+8</f>
        <v>16</v>
      </c>
      <c r="I85" s="27">
        <f>7891.5+1350.3</f>
        <v>9241.7999999999993</v>
      </c>
      <c r="J85" s="27">
        <f t="shared" si="10"/>
        <v>9241.7999999999993</v>
      </c>
      <c r="K85" s="34">
        <f t="shared" si="11"/>
        <v>9241.7999999999993</v>
      </c>
    </row>
    <row r="86" spans="1:11" s="28" customFormat="1" ht="141.75" x14ac:dyDescent="0.25">
      <c r="A86" s="32" t="s">
        <v>142</v>
      </c>
      <c r="B86" s="9" t="s">
        <v>180</v>
      </c>
      <c r="C86" s="38" t="s">
        <v>174</v>
      </c>
      <c r="D86" s="40" t="s">
        <v>108</v>
      </c>
      <c r="E86" s="23" t="s">
        <v>33</v>
      </c>
      <c r="F86" s="25">
        <v>28</v>
      </c>
      <c r="G86" s="25">
        <v>28</v>
      </c>
      <c r="H86" s="25">
        <v>28</v>
      </c>
      <c r="I86" s="27">
        <v>4892.3</v>
      </c>
      <c r="J86" s="27">
        <v>4841.6000000000004</v>
      </c>
      <c r="K86" s="34">
        <f>J86</f>
        <v>4841.6000000000004</v>
      </c>
    </row>
    <row r="87" spans="1:11" s="28" customFormat="1" ht="126" x14ac:dyDescent="0.25">
      <c r="A87" s="29" t="s">
        <v>142</v>
      </c>
      <c r="B87" s="9" t="s">
        <v>180</v>
      </c>
      <c r="C87" s="38" t="s">
        <v>175</v>
      </c>
      <c r="D87" s="40" t="s">
        <v>108</v>
      </c>
      <c r="E87" s="23" t="s">
        <v>33</v>
      </c>
      <c r="F87" s="25">
        <v>11</v>
      </c>
      <c r="G87" s="25">
        <v>11</v>
      </c>
      <c r="H87" s="25">
        <v>11</v>
      </c>
      <c r="I87" s="27">
        <v>2242.3000000000002</v>
      </c>
      <c r="J87" s="27">
        <v>2219.1</v>
      </c>
      <c r="K87" s="34">
        <f t="shared" ref="K87:K97" si="12">J87</f>
        <v>2219.1</v>
      </c>
    </row>
    <row r="88" spans="1:11" s="28" customFormat="1" ht="141.75" x14ac:dyDescent="0.25">
      <c r="A88" s="29" t="s">
        <v>142</v>
      </c>
      <c r="B88" s="9" t="s">
        <v>180</v>
      </c>
      <c r="C88" s="38" t="s">
        <v>176</v>
      </c>
      <c r="D88" s="40" t="s">
        <v>108</v>
      </c>
      <c r="E88" s="23" t="s">
        <v>33</v>
      </c>
      <c r="F88" s="25">
        <v>22</v>
      </c>
      <c r="G88" s="25">
        <v>22</v>
      </c>
      <c r="H88" s="25">
        <v>22</v>
      </c>
      <c r="I88" s="27">
        <v>4688.5</v>
      </c>
      <c r="J88" s="27">
        <v>4640</v>
      </c>
      <c r="K88" s="34">
        <f t="shared" si="12"/>
        <v>4640</v>
      </c>
    </row>
    <row r="89" spans="1:11" s="28" customFormat="1" ht="141.75" x14ac:dyDescent="0.25">
      <c r="A89" s="29" t="s">
        <v>142</v>
      </c>
      <c r="B89" s="9" t="s">
        <v>180</v>
      </c>
      <c r="C89" s="38" t="s">
        <v>177</v>
      </c>
      <c r="D89" s="40" t="s">
        <v>108</v>
      </c>
      <c r="E89" s="23" t="s">
        <v>33</v>
      </c>
      <c r="F89" s="25">
        <v>12</v>
      </c>
      <c r="G89" s="25">
        <v>12</v>
      </c>
      <c r="H89" s="25">
        <v>12</v>
      </c>
      <c r="I89" s="27">
        <v>3261.6</v>
      </c>
      <c r="J89" s="27">
        <v>3227.9</v>
      </c>
      <c r="K89" s="34">
        <f t="shared" si="12"/>
        <v>3227.9</v>
      </c>
    </row>
    <row r="90" spans="1:11" s="28" customFormat="1" ht="157.5" x14ac:dyDescent="0.25">
      <c r="A90" s="29" t="s">
        <v>142</v>
      </c>
      <c r="B90" s="9" t="s">
        <v>180</v>
      </c>
      <c r="C90" s="38" t="s">
        <v>178</v>
      </c>
      <c r="D90" s="40" t="s">
        <v>108</v>
      </c>
      <c r="E90" s="23" t="s">
        <v>33</v>
      </c>
      <c r="F90" s="25">
        <v>71</v>
      </c>
      <c r="G90" s="25">
        <v>71</v>
      </c>
      <c r="H90" s="25">
        <v>71</v>
      </c>
      <c r="I90" s="27">
        <v>15084.4</v>
      </c>
      <c r="J90" s="27">
        <v>14928.2</v>
      </c>
      <c r="K90" s="34">
        <f t="shared" si="12"/>
        <v>14928.2</v>
      </c>
    </row>
    <row r="91" spans="1:11" s="28" customFormat="1" ht="141.75" x14ac:dyDescent="0.25">
      <c r="A91" s="29" t="s">
        <v>142</v>
      </c>
      <c r="B91" s="9" t="s">
        <v>180</v>
      </c>
      <c r="C91" s="38" t="s">
        <v>179</v>
      </c>
      <c r="D91" s="40" t="s">
        <v>108</v>
      </c>
      <c r="E91" s="23" t="s">
        <v>33</v>
      </c>
      <c r="F91" s="25">
        <v>24</v>
      </c>
      <c r="G91" s="25">
        <v>24</v>
      </c>
      <c r="H91" s="25">
        <v>24</v>
      </c>
      <c r="I91" s="27">
        <v>4076.8</v>
      </c>
      <c r="J91" s="27">
        <v>4034.6</v>
      </c>
      <c r="K91" s="34">
        <f t="shared" si="12"/>
        <v>4034.6</v>
      </c>
    </row>
    <row r="92" spans="1:11" s="28" customFormat="1" ht="126" x14ac:dyDescent="0.25">
      <c r="A92" s="29" t="s">
        <v>142</v>
      </c>
      <c r="B92" s="9">
        <v>110070</v>
      </c>
      <c r="C92" s="38" t="s">
        <v>109</v>
      </c>
      <c r="D92" s="40" t="s">
        <v>108</v>
      </c>
      <c r="E92" s="23" t="s">
        <v>33</v>
      </c>
      <c r="F92" s="25">
        <v>124</v>
      </c>
      <c r="G92" s="25">
        <v>124</v>
      </c>
      <c r="H92" s="25">
        <v>124</v>
      </c>
      <c r="I92" s="27">
        <v>13624.6</v>
      </c>
      <c r="J92" s="27">
        <v>13417.5</v>
      </c>
      <c r="K92" s="34">
        <f t="shared" si="12"/>
        <v>13417.5</v>
      </c>
    </row>
    <row r="93" spans="1:11" s="28" customFormat="1" ht="126" x14ac:dyDescent="0.25">
      <c r="A93" s="29" t="s">
        <v>142</v>
      </c>
      <c r="B93" s="9">
        <v>110070</v>
      </c>
      <c r="C93" s="38" t="s">
        <v>110</v>
      </c>
      <c r="D93" s="40" t="s">
        <v>108</v>
      </c>
      <c r="E93" s="23" t="s">
        <v>33</v>
      </c>
      <c r="F93" s="25">
        <v>56</v>
      </c>
      <c r="G93" s="25">
        <v>56</v>
      </c>
      <c r="H93" s="25">
        <v>56</v>
      </c>
      <c r="I93" s="27">
        <v>3604.4</v>
      </c>
      <c r="J93" s="27">
        <v>3549.5</v>
      </c>
      <c r="K93" s="34">
        <f t="shared" si="12"/>
        <v>3549.5</v>
      </c>
    </row>
    <row r="94" spans="1:11" s="28" customFormat="1" ht="141.75" x14ac:dyDescent="0.25">
      <c r="A94" s="29" t="s">
        <v>142</v>
      </c>
      <c r="B94" s="9">
        <v>110070</v>
      </c>
      <c r="C94" s="38" t="s">
        <v>111</v>
      </c>
      <c r="D94" s="40" t="s">
        <v>108</v>
      </c>
      <c r="E94" s="23" t="s">
        <v>33</v>
      </c>
      <c r="F94" s="25">
        <v>17</v>
      </c>
      <c r="G94" s="25">
        <v>17</v>
      </c>
      <c r="H94" s="25">
        <v>17</v>
      </c>
      <c r="I94" s="27">
        <v>2335.5</v>
      </c>
      <c r="J94" s="27">
        <v>2275.4</v>
      </c>
      <c r="K94" s="34">
        <f t="shared" si="12"/>
        <v>2275.4</v>
      </c>
    </row>
    <row r="95" spans="1:11" s="28" customFormat="1" ht="126" x14ac:dyDescent="0.25">
      <c r="A95" s="29" t="s">
        <v>142</v>
      </c>
      <c r="B95" s="9">
        <v>110070</v>
      </c>
      <c r="C95" s="38" t="s">
        <v>112</v>
      </c>
      <c r="D95" s="40" t="s">
        <v>108</v>
      </c>
      <c r="E95" s="23" t="s">
        <v>33</v>
      </c>
      <c r="F95" s="25">
        <v>13</v>
      </c>
      <c r="G95" s="25">
        <v>13</v>
      </c>
      <c r="H95" s="25">
        <v>13</v>
      </c>
      <c r="I95" s="27">
        <v>1763.1</v>
      </c>
      <c r="J95" s="27">
        <v>1717.7</v>
      </c>
      <c r="K95" s="34">
        <f t="shared" si="12"/>
        <v>1717.7</v>
      </c>
    </row>
    <row r="96" spans="1:11" s="28" customFormat="1" ht="110.25" x14ac:dyDescent="0.25">
      <c r="A96" s="29" t="s">
        <v>142</v>
      </c>
      <c r="B96" s="9">
        <v>110070</v>
      </c>
      <c r="C96" s="38" t="s">
        <v>113</v>
      </c>
      <c r="D96" s="40" t="s">
        <v>108</v>
      </c>
      <c r="E96" s="23" t="s">
        <v>33</v>
      </c>
      <c r="F96" s="25">
        <v>31</v>
      </c>
      <c r="G96" s="25">
        <v>31</v>
      </c>
      <c r="H96" s="25">
        <v>31</v>
      </c>
      <c r="I96" s="27">
        <v>3508.5</v>
      </c>
      <c r="J96" s="27">
        <v>3418.1</v>
      </c>
      <c r="K96" s="34">
        <f t="shared" si="12"/>
        <v>3418.1</v>
      </c>
    </row>
    <row r="97" spans="1:11" s="28" customFormat="1" ht="111" thickBot="1" x14ac:dyDescent="0.3">
      <c r="A97" s="35" t="s">
        <v>142</v>
      </c>
      <c r="B97" s="9">
        <v>110070</v>
      </c>
      <c r="C97" s="38" t="s">
        <v>114</v>
      </c>
      <c r="D97" s="40" t="s">
        <v>108</v>
      </c>
      <c r="E97" s="23" t="s">
        <v>33</v>
      </c>
      <c r="F97" s="25">
        <v>35</v>
      </c>
      <c r="G97" s="25">
        <v>35</v>
      </c>
      <c r="H97" s="25">
        <v>35</v>
      </c>
      <c r="I97" s="27">
        <v>3492.8</v>
      </c>
      <c r="J97" s="27">
        <v>3402.9</v>
      </c>
      <c r="K97" s="34">
        <f t="shared" si="12"/>
        <v>3402.9</v>
      </c>
    </row>
    <row r="98" spans="1:11" s="28" customFormat="1" ht="94.5" x14ac:dyDescent="0.25">
      <c r="A98" s="22" t="s">
        <v>141</v>
      </c>
      <c r="B98" s="9">
        <v>110100</v>
      </c>
      <c r="C98" s="38" t="s">
        <v>115</v>
      </c>
      <c r="D98" s="40" t="s">
        <v>108</v>
      </c>
      <c r="E98" s="23" t="s">
        <v>33</v>
      </c>
      <c r="F98" s="25">
        <v>30</v>
      </c>
      <c r="G98" s="25">
        <v>30</v>
      </c>
      <c r="H98" s="25">
        <v>30</v>
      </c>
      <c r="I98" s="27">
        <v>3958.7</v>
      </c>
      <c r="J98" s="27">
        <v>3958.7</v>
      </c>
      <c r="K98" s="27">
        <v>3958.7</v>
      </c>
    </row>
    <row r="99" spans="1:11" s="28" customFormat="1" ht="110.25" x14ac:dyDescent="0.25">
      <c r="A99" s="29" t="s">
        <v>141</v>
      </c>
      <c r="B99" s="9">
        <v>110100</v>
      </c>
      <c r="C99" s="38" t="s">
        <v>116</v>
      </c>
      <c r="D99" s="40" t="s">
        <v>108</v>
      </c>
      <c r="E99" s="23" t="s">
        <v>33</v>
      </c>
      <c r="F99" s="25">
        <v>21</v>
      </c>
      <c r="G99" s="25">
        <v>21</v>
      </c>
      <c r="H99" s="25">
        <v>21</v>
      </c>
      <c r="I99" s="27">
        <v>7806.2</v>
      </c>
      <c r="J99" s="27">
        <v>7806.2</v>
      </c>
      <c r="K99" s="27">
        <v>7806.2</v>
      </c>
    </row>
    <row r="100" spans="1:11" s="28" customFormat="1" ht="110.25" x14ac:dyDescent="0.25">
      <c r="A100" s="29" t="s">
        <v>141</v>
      </c>
      <c r="B100" s="9">
        <v>110100</v>
      </c>
      <c r="C100" s="38" t="s">
        <v>117</v>
      </c>
      <c r="D100" s="40" t="s">
        <v>108</v>
      </c>
      <c r="E100" s="23" t="s">
        <v>33</v>
      </c>
      <c r="F100" s="25">
        <v>7</v>
      </c>
      <c r="G100" s="25">
        <v>7</v>
      </c>
      <c r="H100" s="25">
        <v>7</v>
      </c>
      <c r="I100" s="27">
        <v>2650.5</v>
      </c>
      <c r="J100" s="27">
        <v>2650.5</v>
      </c>
      <c r="K100" s="27">
        <v>2650.5</v>
      </c>
    </row>
    <row r="101" spans="1:11" s="28" customFormat="1" ht="141.75" x14ac:dyDescent="0.25">
      <c r="A101" s="29" t="s">
        <v>141</v>
      </c>
      <c r="B101" s="9">
        <v>110100</v>
      </c>
      <c r="C101" s="38" t="s">
        <v>118</v>
      </c>
      <c r="D101" s="40" t="s">
        <v>108</v>
      </c>
      <c r="E101" s="23" t="s">
        <v>33</v>
      </c>
      <c r="F101" s="25">
        <v>17</v>
      </c>
      <c r="G101" s="25">
        <v>17</v>
      </c>
      <c r="H101" s="25">
        <v>17</v>
      </c>
      <c r="I101" s="27">
        <v>3211.9</v>
      </c>
      <c r="J101" s="27">
        <v>3211.9</v>
      </c>
      <c r="K101" s="27">
        <v>3211.9</v>
      </c>
    </row>
    <row r="102" spans="1:11" s="28" customFormat="1" ht="141.75" x14ac:dyDescent="0.25">
      <c r="A102" s="29" t="s">
        <v>141</v>
      </c>
      <c r="B102" s="9">
        <v>110100</v>
      </c>
      <c r="C102" s="38" t="s">
        <v>119</v>
      </c>
      <c r="D102" s="40" t="s">
        <v>108</v>
      </c>
      <c r="E102" s="23" t="s">
        <v>33</v>
      </c>
      <c r="F102" s="25">
        <v>1</v>
      </c>
      <c r="G102" s="25">
        <v>1</v>
      </c>
      <c r="H102" s="25">
        <v>1</v>
      </c>
      <c r="I102" s="27">
        <v>104.5</v>
      </c>
      <c r="J102" s="27">
        <v>104.5</v>
      </c>
      <c r="K102" s="27">
        <v>104.5</v>
      </c>
    </row>
    <row r="103" spans="1:11" s="28" customFormat="1" ht="110.25" x14ac:dyDescent="0.25">
      <c r="A103" s="29" t="s">
        <v>141</v>
      </c>
      <c r="B103" s="9">
        <v>110090</v>
      </c>
      <c r="C103" s="38" t="s">
        <v>120</v>
      </c>
      <c r="D103" s="40" t="s">
        <v>108</v>
      </c>
      <c r="E103" s="23" t="s">
        <v>33</v>
      </c>
      <c r="F103" s="25">
        <v>55</v>
      </c>
      <c r="G103" s="25">
        <v>55</v>
      </c>
      <c r="H103" s="25">
        <v>55</v>
      </c>
      <c r="I103" s="27">
        <v>1523.4</v>
      </c>
      <c r="J103" s="27">
        <v>1523.4</v>
      </c>
      <c r="K103" s="27">
        <v>1523.4</v>
      </c>
    </row>
    <row r="104" spans="1:11" s="28" customFormat="1" ht="110.25" x14ac:dyDescent="0.25">
      <c r="A104" s="29" t="s">
        <v>141</v>
      </c>
      <c r="B104" s="9">
        <v>110090</v>
      </c>
      <c r="C104" s="38" t="s">
        <v>121</v>
      </c>
      <c r="D104" s="40" t="s">
        <v>108</v>
      </c>
      <c r="E104" s="23" t="s">
        <v>33</v>
      </c>
      <c r="F104" s="25">
        <v>10</v>
      </c>
      <c r="G104" s="25">
        <v>10</v>
      </c>
      <c r="H104" s="25">
        <v>10</v>
      </c>
      <c r="I104" s="27">
        <v>235.5</v>
      </c>
      <c r="J104" s="27">
        <v>235.5</v>
      </c>
      <c r="K104" s="27">
        <v>235.5</v>
      </c>
    </row>
    <row r="105" spans="1:11" s="28" customFormat="1" ht="126" x14ac:dyDescent="0.25">
      <c r="A105" s="29" t="s">
        <v>141</v>
      </c>
      <c r="B105" s="9">
        <v>110090</v>
      </c>
      <c r="C105" s="38" t="s">
        <v>122</v>
      </c>
      <c r="D105" s="40" t="s">
        <v>108</v>
      </c>
      <c r="E105" s="23" t="s">
        <v>33</v>
      </c>
      <c r="F105" s="25">
        <v>33</v>
      </c>
      <c r="G105" s="25">
        <v>33</v>
      </c>
      <c r="H105" s="25">
        <v>33</v>
      </c>
      <c r="I105" s="27">
        <v>811.6</v>
      </c>
      <c r="J105" s="27">
        <v>811.6</v>
      </c>
      <c r="K105" s="27">
        <v>811.6</v>
      </c>
    </row>
    <row r="106" spans="1:11" s="28" customFormat="1" ht="110.25" x14ac:dyDescent="0.25">
      <c r="A106" s="29" t="s">
        <v>141</v>
      </c>
      <c r="B106" s="9">
        <v>110090</v>
      </c>
      <c r="C106" s="38" t="s">
        <v>123</v>
      </c>
      <c r="D106" s="40" t="s">
        <v>108</v>
      </c>
      <c r="E106" s="23" t="s">
        <v>33</v>
      </c>
      <c r="F106" s="25">
        <v>46</v>
      </c>
      <c r="G106" s="25">
        <v>46</v>
      </c>
      <c r="H106" s="25">
        <v>46</v>
      </c>
      <c r="I106" s="27">
        <v>473.2</v>
      </c>
      <c r="J106" s="27">
        <v>473.2</v>
      </c>
      <c r="K106" s="27">
        <v>473.2</v>
      </c>
    </row>
    <row r="107" spans="1:11" s="28" customFormat="1" ht="94.5" x14ac:dyDescent="0.25">
      <c r="A107" s="29" t="s">
        <v>141</v>
      </c>
      <c r="B107" s="9">
        <v>110090</v>
      </c>
      <c r="C107" s="38" t="s">
        <v>124</v>
      </c>
      <c r="D107" s="40" t="s">
        <v>108</v>
      </c>
      <c r="E107" s="23" t="s">
        <v>33</v>
      </c>
      <c r="F107" s="25">
        <v>16</v>
      </c>
      <c r="G107" s="25">
        <v>16</v>
      </c>
      <c r="H107" s="25">
        <v>16</v>
      </c>
      <c r="I107" s="27">
        <v>881.6</v>
      </c>
      <c r="J107" s="27">
        <v>881.6</v>
      </c>
      <c r="K107" s="27">
        <v>881.6</v>
      </c>
    </row>
    <row r="108" spans="1:11" s="28" customFormat="1" ht="110.25" x14ac:dyDescent="0.25">
      <c r="A108" s="29" t="s">
        <v>141</v>
      </c>
      <c r="B108" s="9">
        <v>110090</v>
      </c>
      <c r="C108" s="38" t="s">
        <v>125</v>
      </c>
      <c r="D108" s="40" t="s">
        <v>108</v>
      </c>
      <c r="E108" s="23" t="s">
        <v>33</v>
      </c>
      <c r="F108" s="25">
        <v>6</v>
      </c>
      <c r="G108" s="25">
        <v>6</v>
      </c>
      <c r="H108" s="25">
        <v>6</v>
      </c>
      <c r="I108" s="27">
        <v>310.7</v>
      </c>
      <c r="J108" s="27">
        <v>310.7</v>
      </c>
      <c r="K108" s="27">
        <v>310.7</v>
      </c>
    </row>
    <row r="109" spans="1:11" s="28" customFormat="1" ht="42" customHeight="1" x14ac:dyDescent="0.25">
      <c r="A109" s="29" t="s">
        <v>141</v>
      </c>
      <c r="B109" s="9">
        <v>110090</v>
      </c>
      <c r="C109" s="38" t="s">
        <v>126</v>
      </c>
      <c r="D109" s="40" t="s">
        <v>108</v>
      </c>
      <c r="E109" s="23" t="s">
        <v>33</v>
      </c>
      <c r="F109" s="25">
        <v>4</v>
      </c>
      <c r="G109" s="25">
        <v>4</v>
      </c>
      <c r="H109" s="25">
        <v>4</v>
      </c>
      <c r="I109" s="27">
        <v>260.10000000000002</v>
      </c>
      <c r="J109" s="27">
        <v>260.10000000000002</v>
      </c>
      <c r="K109" s="27">
        <v>260.10000000000002</v>
      </c>
    </row>
    <row r="110" spans="1:11" s="28" customFormat="1" ht="42" customHeight="1" x14ac:dyDescent="0.25">
      <c r="A110" s="29" t="s">
        <v>141</v>
      </c>
      <c r="B110" s="9">
        <v>110090</v>
      </c>
      <c r="C110" s="38" t="s">
        <v>184</v>
      </c>
      <c r="D110" s="40" t="s">
        <v>108</v>
      </c>
      <c r="E110" s="23" t="s">
        <v>33</v>
      </c>
      <c r="F110" s="25">
        <v>1</v>
      </c>
      <c r="G110" s="25">
        <v>1</v>
      </c>
      <c r="H110" s="25">
        <v>1</v>
      </c>
      <c r="I110" s="27">
        <v>104.5</v>
      </c>
      <c r="J110" s="27">
        <v>104.5</v>
      </c>
      <c r="K110" s="27">
        <v>104.5</v>
      </c>
    </row>
    <row r="111" spans="1:11" s="28" customFormat="1" ht="45.2" customHeight="1" x14ac:dyDescent="0.25">
      <c r="A111" s="29" t="s">
        <v>141</v>
      </c>
      <c r="B111" s="9">
        <v>110090</v>
      </c>
      <c r="C111" s="38" t="s">
        <v>127</v>
      </c>
      <c r="D111" s="40" t="s">
        <v>108</v>
      </c>
      <c r="E111" s="23" t="s">
        <v>33</v>
      </c>
      <c r="F111" s="25">
        <v>32</v>
      </c>
      <c r="G111" s="25">
        <v>32</v>
      </c>
      <c r="H111" s="25">
        <v>32</v>
      </c>
      <c r="I111" s="27">
        <v>3013.5</v>
      </c>
      <c r="J111" s="27">
        <v>3013.5</v>
      </c>
      <c r="K111" s="27">
        <v>3013.5</v>
      </c>
    </row>
    <row r="112" spans="1:11" s="28" customFormat="1" ht="45.2" customHeight="1" x14ac:dyDescent="0.25">
      <c r="A112" s="29" t="s">
        <v>141</v>
      </c>
      <c r="B112" s="9">
        <v>110090</v>
      </c>
      <c r="C112" s="38" t="s">
        <v>128</v>
      </c>
      <c r="D112" s="40" t="s">
        <v>108</v>
      </c>
      <c r="E112" s="23" t="s">
        <v>33</v>
      </c>
      <c r="F112" s="25">
        <v>26</v>
      </c>
      <c r="G112" s="25">
        <v>26</v>
      </c>
      <c r="H112" s="25">
        <v>26</v>
      </c>
      <c r="I112" s="27">
        <v>1837.8</v>
      </c>
      <c r="J112" s="27">
        <v>1837.8</v>
      </c>
      <c r="K112" s="27">
        <v>1837.8</v>
      </c>
    </row>
    <row r="113" spans="1:11" s="28" customFormat="1" ht="45.6" customHeight="1" x14ac:dyDescent="0.25">
      <c r="A113" s="29" t="s">
        <v>141</v>
      </c>
      <c r="B113" s="9">
        <v>110090</v>
      </c>
      <c r="C113" s="38" t="s">
        <v>129</v>
      </c>
      <c r="D113" s="40" t="s">
        <v>108</v>
      </c>
      <c r="E113" s="23" t="s">
        <v>33</v>
      </c>
      <c r="F113" s="25">
        <v>8</v>
      </c>
      <c r="G113" s="25">
        <v>8</v>
      </c>
      <c r="H113" s="25">
        <v>8</v>
      </c>
      <c r="I113" s="27">
        <v>921.8</v>
      </c>
      <c r="J113" s="27">
        <v>921.8</v>
      </c>
      <c r="K113" s="27">
        <v>921.8</v>
      </c>
    </row>
    <row r="114" spans="1:11" s="28" customFormat="1" ht="42" customHeight="1" x14ac:dyDescent="0.25">
      <c r="A114" s="29" t="s">
        <v>141</v>
      </c>
      <c r="B114" s="9">
        <v>110090</v>
      </c>
      <c r="C114" s="38" t="s">
        <v>130</v>
      </c>
      <c r="D114" s="40" t="s">
        <v>108</v>
      </c>
      <c r="E114" s="23" t="s">
        <v>33</v>
      </c>
      <c r="F114" s="25">
        <v>18</v>
      </c>
      <c r="G114" s="25">
        <v>18</v>
      </c>
      <c r="H114" s="25">
        <v>18</v>
      </c>
      <c r="I114" s="27">
        <v>1965.3</v>
      </c>
      <c r="J114" s="27">
        <v>1965.3</v>
      </c>
      <c r="K114" s="27">
        <v>1965.3</v>
      </c>
    </row>
    <row r="115" spans="1:11" s="28" customFormat="1" ht="43.15" customHeight="1" x14ac:dyDescent="0.25">
      <c r="A115" s="29" t="s">
        <v>141</v>
      </c>
      <c r="B115" s="9">
        <v>110090</v>
      </c>
      <c r="C115" s="38" t="s">
        <v>131</v>
      </c>
      <c r="D115" s="40" t="s">
        <v>108</v>
      </c>
      <c r="E115" s="23" t="s">
        <v>33</v>
      </c>
      <c r="F115" s="25">
        <v>2</v>
      </c>
      <c r="G115" s="25">
        <v>2</v>
      </c>
      <c r="H115" s="25">
        <v>2</v>
      </c>
      <c r="I115" s="27">
        <v>535.29999999999995</v>
      </c>
      <c r="J115" s="27">
        <v>535.29999999999995</v>
      </c>
      <c r="K115" s="27">
        <v>535.29999999999995</v>
      </c>
    </row>
    <row r="116" spans="1:11" s="28" customFormat="1" ht="110.25" x14ac:dyDescent="0.25">
      <c r="A116" s="29" t="s">
        <v>141</v>
      </c>
      <c r="B116" s="9">
        <v>110090</v>
      </c>
      <c r="C116" s="38" t="s">
        <v>132</v>
      </c>
      <c r="D116" s="40" t="s">
        <v>108</v>
      </c>
      <c r="E116" s="23" t="s">
        <v>33</v>
      </c>
      <c r="F116" s="25">
        <v>3</v>
      </c>
      <c r="G116" s="25">
        <v>3</v>
      </c>
      <c r="H116" s="25">
        <v>3</v>
      </c>
      <c r="I116" s="27">
        <v>1668.6</v>
      </c>
      <c r="J116" s="27">
        <v>1668.6</v>
      </c>
      <c r="K116" s="27">
        <v>1668.6</v>
      </c>
    </row>
    <row r="117" spans="1:11" s="28" customFormat="1" ht="110.25" x14ac:dyDescent="0.25">
      <c r="A117" s="29" t="s">
        <v>141</v>
      </c>
      <c r="B117" s="9">
        <v>110090</v>
      </c>
      <c r="C117" s="38" t="s">
        <v>133</v>
      </c>
      <c r="D117" s="40" t="s">
        <v>108</v>
      </c>
      <c r="E117" s="23" t="s">
        <v>33</v>
      </c>
      <c r="F117" s="25">
        <v>15</v>
      </c>
      <c r="G117" s="25">
        <v>15</v>
      </c>
      <c r="H117" s="25">
        <v>15</v>
      </c>
      <c r="I117" s="27">
        <v>3033.3</v>
      </c>
      <c r="J117" s="27">
        <v>3033.3</v>
      </c>
      <c r="K117" s="27">
        <v>3033.3</v>
      </c>
    </row>
    <row r="118" spans="1:11" s="28" customFormat="1" ht="94.5" x14ac:dyDescent="0.25">
      <c r="A118" s="29" t="s">
        <v>141</v>
      </c>
      <c r="B118" s="9">
        <v>110090</v>
      </c>
      <c r="C118" s="38" t="s">
        <v>134</v>
      </c>
      <c r="D118" s="40" t="s">
        <v>108</v>
      </c>
      <c r="E118" s="23" t="s">
        <v>33</v>
      </c>
      <c r="F118" s="25">
        <v>8</v>
      </c>
      <c r="G118" s="25">
        <v>8</v>
      </c>
      <c r="H118" s="25">
        <v>8</v>
      </c>
      <c r="I118" s="27">
        <v>1910.4</v>
      </c>
      <c r="J118" s="27">
        <v>1910.4</v>
      </c>
      <c r="K118" s="27">
        <v>1910.4</v>
      </c>
    </row>
    <row r="119" spans="1:11" s="28" customFormat="1" ht="94.5" x14ac:dyDescent="0.25">
      <c r="A119" s="29" t="s">
        <v>141</v>
      </c>
      <c r="B119" s="9">
        <v>110090</v>
      </c>
      <c r="C119" s="38" t="s">
        <v>183</v>
      </c>
      <c r="D119" s="40" t="s">
        <v>108</v>
      </c>
      <c r="E119" s="23" t="s">
        <v>33</v>
      </c>
      <c r="F119" s="25">
        <v>1</v>
      </c>
      <c r="G119" s="25">
        <v>1</v>
      </c>
      <c r="H119" s="25">
        <v>1</v>
      </c>
      <c r="I119" s="27">
        <v>835.6</v>
      </c>
      <c r="J119" s="27">
        <v>835.6</v>
      </c>
      <c r="K119" s="27">
        <v>835.6</v>
      </c>
    </row>
    <row r="120" spans="1:11" s="28" customFormat="1" ht="63.75" thickBot="1" x14ac:dyDescent="0.3">
      <c r="A120" s="35" t="s">
        <v>141</v>
      </c>
      <c r="B120" s="9">
        <v>110230</v>
      </c>
      <c r="C120" s="38" t="s">
        <v>135</v>
      </c>
      <c r="D120" s="40" t="s">
        <v>108</v>
      </c>
      <c r="E120" s="23" t="s">
        <v>33</v>
      </c>
      <c r="F120" s="25">
        <v>500</v>
      </c>
      <c r="G120" s="25">
        <v>500</v>
      </c>
      <c r="H120" s="25">
        <v>500</v>
      </c>
      <c r="I120" s="27">
        <v>2002.9</v>
      </c>
      <c r="J120" s="27">
        <v>2002.9</v>
      </c>
      <c r="K120" s="27">
        <v>2002.9</v>
      </c>
    </row>
    <row r="121" spans="1:11" s="28" customFormat="1" ht="76.5" x14ac:dyDescent="0.25">
      <c r="A121" s="22"/>
      <c r="B121" s="9" t="s">
        <v>171</v>
      </c>
      <c r="C121" s="38" t="s">
        <v>173</v>
      </c>
      <c r="D121" s="40" t="s">
        <v>136</v>
      </c>
      <c r="E121" s="23" t="s">
        <v>22</v>
      </c>
      <c r="F121" s="25">
        <v>36731</v>
      </c>
      <c r="G121" s="25">
        <v>36731</v>
      </c>
      <c r="H121" s="25">
        <v>36731</v>
      </c>
      <c r="I121" s="27">
        <v>6128.9675813115791</v>
      </c>
      <c r="J121" s="27">
        <f>I121</f>
        <v>6128.9675813115791</v>
      </c>
      <c r="K121" s="34">
        <f>I121</f>
        <v>6128.9675813115791</v>
      </c>
    </row>
    <row r="122" spans="1:11" s="28" customFormat="1" ht="76.5" x14ac:dyDescent="0.25">
      <c r="A122" s="29"/>
      <c r="B122" s="9" t="s">
        <v>172</v>
      </c>
      <c r="C122" s="38" t="s">
        <v>170</v>
      </c>
      <c r="D122" s="40" t="s">
        <v>136</v>
      </c>
      <c r="E122" s="23" t="s">
        <v>22</v>
      </c>
      <c r="F122" s="25">
        <v>1025</v>
      </c>
      <c r="G122" s="25">
        <v>1025</v>
      </c>
      <c r="H122" s="25">
        <v>1025</v>
      </c>
      <c r="I122" s="27">
        <v>171.03241868842039</v>
      </c>
      <c r="J122" s="27">
        <f t="shared" ref="J122:J123" si="13">I122</f>
        <v>171.03241868842039</v>
      </c>
      <c r="K122" s="34">
        <f t="shared" ref="K122:K123" si="14">I122</f>
        <v>171.03241868842039</v>
      </c>
    </row>
    <row r="123" spans="1:11" s="28" customFormat="1" ht="45" customHeight="1" thickBot="1" x14ac:dyDescent="0.3">
      <c r="A123" s="33"/>
      <c r="B123" s="9"/>
      <c r="C123" s="38" t="s">
        <v>210</v>
      </c>
      <c r="D123" s="40" t="s">
        <v>209</v>
      </c>
      <c r="E123" s="23" t="s">
        <v>22</v>
      </c>
      <c r="F123" s="25">
        <v>57551</v>
      </c>
      <c r="G123" s="25">
        <v>57551</v>
      </c>
      <c r="H123" s="25">
        <v>57551</v>
      </c>
      <c r="I123" s="27">
        <f>33652-I121-I122</f>
        <v>27352</v>
      </c>
      <c r="J123" s="27">
        <f t="shared" si="13"/>
        <v>27352</v>
      </c>
      <c r="K123" s="34">
        <f t="shared" si="14"/>
        <v>27352</v>
      </c>
    </row>
    <row r="124" spans="1:11" s="28" customFormat="1" ht="15.75" x14ac:dyDescent="0.25">
      <c r="I124" s="36"/>
      <c r="J124" s="36"/>
      <c r="K124" s="36"/>
    </row>
    <row r="125" spans="1:11" s="28" customFormat="1" ht="15.75" x14ac:dyDescent="0.25">
      <c r="B125" s="270"/>
      <c r="C125" s="270"/>
      <c r="D125" s="20" t="s">
        <v>3</v>
      </c>
      <c r="E125" s="20" t="s">
        <v>4</v>
      </c>
      <c r="F125" s="20" t="s">
        <v>5</v>
      </c>
      <c r="I125" s="37"/>
    </row>
    <row r="126" spans="1:11" s="28" customFormat="1" ht="72" customHeight="1" x14ac:dyDescent="0.25">
      <c r="B126" s="271" t="s">
        <v>248</v>
      </c>
      <c r="C126" s="272"/>
      <c r="D126" s="238">
        <v>588269.80000000005</v>
      </c>
      <c r="E126" s="238">
        <v>585097.9</v>
      </c>
      <c r="F126" s="238">
        <v>585097.9</v>
      </c>
      <c r="I126" s="36"/>
      <c r="J126" s="36"/>
    </row>
    <row r="127" spans="1:11" x14ac:dyDescent="0.25">
      <c r="I127" s="4"/>
      <c r="J127" s="4"/>
    </row>
    <row r="128" spans="1:11" x14ac:dyDescent="0.25">
      <c r="I128" s="4"/>
      <c r="J128" s="4"/>
    </row>
    <row r="129" spans="5:11" x14ac:dyDescent="0.25">
      <c r="I129" s="4"/>
      <c r="J129" s="4"/>
    </row>
    <row r="130" spans="5:11" x14ac:dyDescent="0.25">
      <c r="I130" s="4"/>
      <c r="J130" s="4"/>
    </row>
    <row r="131" spans="5:11" ht="14.45" hidden="1" x14ac:dyDescent="0.3">
      <c r="E131" s="3" t="s">
        <v>202</v>
      </c>
      <c r="F131" s="5">
        <f t="shared" ref="F131:K131" si="15">SUM(F8:F22)</f>
        <v>2371033</v>
      </c>
      <c r="G131" s="5">
        <f t="shared" si="15"/>
        <v>2390670</v>
      </c>
      <c r="H131" s="5">
        <f t="shared" si="15"/>
        <v>2395218</v>
      </c>
      <c r="I131" s="4">
        <f t="shared" si="15"/>
        <v>34207.600000000006</v>
      </c>
      <c r="J131" s="4">
        <f t="shared" si="15"/>
        <v>34207.600000000006</v>
      </c>
      <c r="K131" s="4">
        <f t="shared" si="15"/>
        <v>34207.600000000006</v>
      </c>
    </row>
    <row r="132" spans="5:11" ht="14.45" hidden="1" x14ac:dyDescent="0.3">
      <c r="E132" s="3" t="s">
        <v>181</v>
      </c>
      <c r="F132" s="5">
        <f t="shared" ref="F132:K132" si="16">SUM(F86:F97)</f>
        <v>444</v>
      </c>
      <c r="G132" s="5">
        <f t="shared" si="16"/>
        <v>444</v>
      </c>
      <c r="H132" s="5">
        <f t="shared" si="16"/>
        <v>444</v>
      </c>
      <c r="I132" s="4">
        <f t="shared" si="16"/>
        <v>62574.8</v>
      </c>
      <c r="J132" s="4">
        <f t="shared" si="16"/>
        <v>61672.5</v>
      </c>
      <c r="K132" s="4">
        <f t="shared" si="16"/>
        <v>61672.5</v>
      </c>
    </row>
    <row r="133" spans="5:11" ht="14.45" hidden="1" x14ac:dyDescent="0.3">
      <c r="E133" s="3" t="s">
        <v>185</v>
      </c>
      <c r="F133" s="5">
        <f t="shared" ref="F133:K133" si="17">SUM(F98:F120)</f>
        <v>860</v>
      </c>
      <c r="G133" s="5">
        <f t="shared" si="17"/>
        <v>860</v>
      </c>
      <c r="H133" s="5">
        <f t="shared" si="17"/>
        <v>860</v>
      </c>
      <c r="I133" s="4">
        <f t="shared" si="17"/>
        <v>40056.899999999994</v>
      </c>
      <c r="J133" s="4">
        <f t="shared" si="17"/>
        <v>40056.899999999994</v>
      </c>
      <c r="K133" s="4">
        <f t="shared" si="17"/>
        <v>40056.899999999994</v>
      </c>
    </row>
    <row r="134" spans="5:11" ht="14.45" hidden="1" x14ac:dyDescent="0.3">
      <c r="E134" s="3" t="s">
        <v>193</v>
      </c>
      <c r="F134" s="5">
        <f>F39+F40+30+5+8+4+4+8</f>
        <v>65</v>
      </c>
      <c r="G134" s="5">
        <f>G39+G40</f>
        <v>6</v>
      </c>
      <c r="H134" s="5">
        <f>H39+H40</f>
        <v>6</v>
      </c>
      <c r="I134" s="4">
        <f>I39+I40+407.2+6157+7891.5+30.4+828.7+1350.3</f>
        <v>19028.800000000003</v>
      </c>
      <c r="J134" s="4">
        <f>J39+J40+407.2+6157+7891.5+30.4+828.7+1350.3</f>
        <v>19028.800000000003</v>
      </c>
      <c r="K134" s="4">
        <f>K39+K40+407.2+6157+7891.5+30.4+828.7+1350.3</f>
        <v>19028.800000000003</v>
      </c>
    </row>
    <row r="135" spans="5:11" ht="14.45" hidden="1" x14ac:dyDescent="0.3">
      <c r="E135" s="3" t="s">
        <v>191</v>
      </c>
      <c r="F135" s="5">
        <f>SUM(F30:F37)+20</f>
        <v>242770</v>
      </c>
      <c r="G135" s="5">
        <f>SUM(G30:G37)+20</f>
        <v>243503</v>
      </c>
      <c r="H135" s="5">
        <f>SUM(H30:H37)+20</f>
        <v>243989</v>
      </c>
      <c r="I135" s="4">
        <f>SUM(I30:I37)+272.5</f>
        <v>45580.900000000009</v>
      </c>
      <c r="J135" s="4">
        <f>SUM(J30:J37)+272.5</f>
        <v>45580.900000000009</v>
      </c>
      <c r="K135" s="4">
        <f>SUM(K30:K37)+272.5</f>
        <v>45580.900000000009</v>
      </c>
    </row>
    <row r="136" spans="5:11" ht="14.45" hidden="1" x14ac:dyDescent="0.3">
      <c r="E136" s="3" t="s">
        <v>194</v>
      </c>
      <c r="F136" s="5">
        <f t="shared" ref="F136:K136" si="18">F38</f>
        <v>150</v>
      </c>
      <c r="G136" s="5">
        <f t="shared" si="18"/>
        <v>150</v>
      </c>
      <c r="H136" s="5">
        <f t="shared" si="18"/>
        <v>150</v>
      </c>
      <c r="I136" s="4">
        <f t="shared" si="18"/>
        <v>1030.7</v>
      </c>
      <c r="J136" s="4">
        <f t="shared" si="18"/>
        <v>1030.7</v>
      </c>
      <c r="K136" s="4">
        <f t="shared" si="18"/>
        <v>1030.7</v>
      </c>
    </row>
    <row r="137" spans="5:11" ht="14.45" hidden="1" x14ac:dyDescent="0.3">
      <c r="E137" s="3" t="s">
        <v>192</v>
      </c>
      <c r="F137" s="5">
        <f>SUM(F23:F29)+85</f>
        <v>5242203</v>
      </c>
      <c r="G137" s="5">
        <f>SUM(G23:G29)</f>
        <v>5364258</v>
      </c>
      <c r="H137" s="5">
        <f>SUM(H23:H29)</f>
        <v>5381894</v>
      </c>
      <c r="I137" s="4">
        <f>SUM(I23:I29)+992.7</f>
        <v>54320.299999999996</v>
      </c>
      <c r="J137" s="4">
        <f>SUM(J23:J29)+992.7</f>
        <v>54320.299999999996</v>
      </c>
      <c r="K137" s="4">
        <f>SUM(K23:K29)+992.7</f>
        <v>54320.299999999996</v>
      </c>
    </row>
    <row r="138" spans="5:11" ht="14.45" hidden="1" x14ac:dyDescent="0.3">
      <c r="E138" s="3" t="s">
        <v>187</v>
      </c>
      <c r="F138" s="5">
        <f>SUM(F41:F55)</f>
        <v>277973</v>
      </c>
      <c r="G138" s="5">
        <f>SUM(G41:G55)</f>
        <v>278785</v>
      </c>
      <c r="H138" s="5">
        <f>SUM(H41:H55)</f>
        <v>279592</v>
      </c>
      <c r="I138" s="4">
        <f>SUM(I41:I59)</f>
        <v>188341.9</v>
      </c>
      <c r="J138" s="4">
        <f>SUM(J41:J59)</f>
        <v>188341.9</v>
      </c>
      <c r="K138" s="4">
        <f>SUM(K41:K59)</f>
        <v>188341.9</v>
      </c>
    </row>
    <row r="139" spans="5:11" ht="14.45" hidden="1" x14ac:dyDescent="0.3">
      <c r="E139" s="3" t="s">
        <v>189</v>
      </c>
      <c r="F139" s="5">
        <f>SUM(F60:F76)</f>
        <v>160650</v>
      </c>
      <c r="G139" s="5">
        <f>SUM(G60:G76)</f>
        <v>160745</v>
      </c>
      <c r="H139" s="5">
        <f>SUM(H60:H76)</f>
        <v>160840</v>
      </c>
      <c r="I139" s="4">
        <f>SUM(I60:I82)</f>
        <v>80599.499999999971</v>
      </c>
      <c r="J139" s="4">
        <f>SUM(J60:J82)</f>
        <v>80599.499999999971</v>
      </c>
      <c r="K139" s="4">
        <f>SUM(K60:K82)</f>
        <v>80599.499999999971</v>
      </c>
    </row>
    <row r="140" spans="5:11" ht="14.45" hidden="1" x14ac:dyDescent="0.3">
      <c r="E140" s="3" t="s">
        <v>182</v>
      </c>
      <c r="F140" s="5">
        <f t="shared" ref="F140:K140" si="19">SUM(F121:F123)</f>
        <v>95307</v>
      </c>
      <c r="G140" s="5">
        <f t="shared" si="19"/>
        <v>95307</v>
      </c>
      <c r="H140" s="5">
        <f t="shared" si="19"/>
        <v>95307</v>
      </c>
      <c r="I140" s="4">
        <f t="shared" si="19"/>
        <v>33652</v>
      </c>
      <c r="J140" s="4">
        <f t="shared" si="19"/>
        <v>33652</v>
      </c>
      <c r="K140" s="4">
        <f t="shared" si="19"/>
        <v>33652</v>
      </c>
    </row>
    <row r="141" spans="5:11" ht="14.45" hidden="1" x14ac:dyDescent="0.3">
      <c r="E141" s="3" t="s">
        <v>200</v>
      </c>
      <c r="I141" s="4">
        <f>SUM(I131:I140)</f>
        <v>559393.4</v>
      </c>
      <c r="J141" s="4">
        <f t="shared" ref="J141:K141" si="20">SUM(J131:J140)</f>
        <v>558491.1</v>
      </c>
      <c r="K141" s="4">
        <f t="shared" si="20"/>
        <v>558491.1</v>
      </c>
    </row>
    <row r="142" spans="5:11" ht="14.45" hidden="1" x14ac:dyDescent="0.3">
      <c r="I142" s="4"/>
      <c r="J142" s="4"/>
    </row>
    <row r="143" spans="5:11" ht="14.45" hidden="1" x14ac:dyDescent="0.3">
      <c r="E143" s="3" t="s">
        <v>202</v>
      </c>
      <c r="I143" s="4">
        <f>27758.4+3145.3+3303.9</f>
        <v>34207.599999999999</v>
      </c>
      <c r="J143" s="4">
        <f t="shared" ref="J143:J151" si="21">I131-I143</f>
        <v>0</v>
      </c>
    </row>
    <row r="144" spans="5:11" ht="14.45" hidden="1" x14ac:dyDescent="0.3">
      <c r="E144" s="3" t="s">
        <v>181</v>
      </c>
      <c r="I144" s="4">
        <f>1525.9+5010.2+56038.7</f>
        <v>62574.799999999996</v>
      </c>
      <c r="J144" s="4">
        <f t="shared" si="21"/>
        <v>0</v>
      </c>
    </row>
    <row r="145" spans="5:10" ht="14.45" hidden="1" x14ac:dyDescent="0.3">
      <c r="E145" s="3" t="s">
        <v>185</v>
      </c>
      <c r="I145" s="4">
        <f>6054.7+32710+1292.2</f>
        <v>40056.899999999994</v>
      </c>
      <c r="J145" s="4">
        <f t="shared" si="21"/>
        <v>0</v>
      </c>
    </row>
    <row r="146" spans="5:10" ht="14.45" hidden="1" x14ac:dyDescent="0.3">
      <c r="E146" s="3" t="s">
        <v>193</v>
      </c>
      <c r="I146" s="4">
        <f>745+5402.9+12880.9</f>
        <v>19028.8</v>
      </c>
      <c r="J146" s="4">
        <f t="shared" si="21"/>
        <v>0</v>
      </c>
    </row>
    <row r="147" spans="5:10" ht="14.45" hidden="1" x14ac:dyDescent="0.3">
      <c r="E147" s="3" t="s">
        <v>191</v>
      </c>
      <c r="I147" s="4">
        <f>1889.4+7090.5+36601</f>
        <v>45580.9</v>
      </c>
      <c r="J147" s="4">
        <f t="shared" si="21"/>
        <v>0</v>
      </c>
    </row>
    <row r="148" spans="5:10" ht="14.45" hidden="1" x14ac:dyDescent="0.3">
      <c r="E148" s="3" t="s">
        <v>194</v>
      </c>
      <c r="I148" s="4">
        <f>967.1+63.6</f>
        <v>1030.7</v>
      </c>
      <c r="J148" s="4">
        <f t="shared" si="21"/>
        <v>0</v>
      </c>
    </row>
    <row r="149" spans="5:10" ht="14.45" hidden="1" x14ac:dyDescent="0.3">
      <c r="E149" s="3" t="s">
        <v>192</v>
      </c>
      <c r="I149" s="4">
        <f>2248.8+910.9+44930.5+6230.1</f>
        <v>54320.299999999996</v>
      </c>
      <c r="J149" s="4">
        <f t="shared" si="21"/>
        <v>0</v>
      </c>
    </row>
    <row r="150" spans="5:10" ht="14.45" hidden="1" x14ac:dyDescent="0.3">
      <c r="E150" s="3" t="s">
        <v>187</v>
      </c>
      <c r="I150" s="4">
        <f>172181.8+6345.3+9814.8</f>
        <v>188341.89999999997</v>
      </c>
      <c r="J150" s="4">
        <f t="shared" si="21"/>
        <v>0</v>
      </c>
    </row>
    <row r="151" spans="5:10" ht="14.45" hidden="1" x14ac:dyDescent="0.3">
      <c r="E151" s="3" t="s">
        <v>189</v>
      </c>
      <c r="I151" s="4">
        <f>54704.9+685.9+22365.6+761.3+2081.8</f>
        <v>80599.5</v>
      </c>
      <c r="J151" s="4">
        <f t="shared" si="21"/>
        <v>0</v>
      </c>
    </row>
    <row r="152" spans="5:10" ht="14.45" hidden="1" x14ac:dyDescent="0.3">
      <c r="E152" s="3" t="s">
        <v>182</v>
      </c>
      <c r="I152" s="4">
        <f>277.1+33374.9</f>
        <v>33652</v>
      </c>
    </row>
    <row r="153" spans="5:10" ht="14.45" hidden="1" x14ac:dyDescent="0.3">
      <c r="E153" s="3" t="s">
        <v>200</v>
      </c>
      <c r="I153" s="4"/>
    </row>
    <row r="154" spans="5:10" x14ac:dyDescent="0.25">
      <c r="I154" s="4"/>
    </row>
    <row r="155" spans="5:10" x14ac:dyDescent="0.25">
      <c r="I155" s="4"/>
    </row>
    <row r="156" spans="5:10" x14ac:dyDescent="0.25">
      <c r="I156" s="4"/>
    </row>
    <row r="157" spans="5:10" x14ac:dyDescent="0.25">
      <c r="I157" s="4"/>
    </row>
    <row r="158" spans="5:10" x14ac:dyDescent="0.25">
      <c r="I158" s="4"/>
    </row>
    <row r="159" spans="5:10" x14ac:dyDescent="0.25">
      <c r="I159" s="4"/>
    </row>
    <row r="160" spans="5:10" x14ac:dyDescent="0.25">
      <c r="I160" s="4"/>
    </row>
  </sheetData>
  <mergeCells count="11">
    <mergeCell ref="A2:K2"/>
    <mergeCell ref="A3:K3"/>
    <mergeCell ref="B125:C125"/>
    <mergeCell ref="B126:C126"/>
    <mergeCell ref="A4:K4"/>
    <mergeCell ref="D6:E6"/>
    <mergeCell ref="C6:C7"/>
    <mergeCell ref="A6:A7"/>
    <mergeCell ref="F6:H6"/>
    <mergeCell ref="I6:K6"/>
    <mergeCell ref="B6:B7"/>
  </mergeCells>
  <pageMargins left="0.7" right="0.7" top="0.75" bottom="0.75" header="0.3" footer="0.3"/>
  <pageSetup paperSize="9" scale="5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83"/>
  <sheetViews>
    <sheetView view="pageBreakPreview" zoomScale="85" zoomScaleNormal="100" zoomScaleSheetLayoutView="85" workbookViewId="0">
      <selection activeCell="A5" sqref="A5"/>
    </sheetView>
  </sheetViews>
  <sheetFormatPr defaultColWidth="9.140625" defaultRowHeight="12.75" x14ac:dyDescent="0.2"/>
  <cols>
    <col min="1" max="1" width="12" style="101" customWidth="1"/>
    <col min="2" max="2" width="50.140625" style="101" customWidth="1"/>
    <col min="3" max="3" width="34.5703125" style="101" customWidth="1"/>
    <col min="4" max="4" width="9.7109375" style="101" customWidth="1"/>
    <col min="5" max="7" width="12" style="101" bestFit="1" customWidth="1"/>
    <col min="8" max="8" width="12.85546875" style="101" bestFit="1" customWidth="1"/>
    <col min="9" max="9" width="13.28515625" style="101" customWidth="1"/>
    <col min="10" max="10" width="12.85546875" style="101" customWidth="1"/>
    <col min="11" max="11" width="14" style="101" customWidth="1"/>
    <col min="12" max="12" width="13.7109375" style="101" customWidth="1"/>
    <col min="13" max="13" width="12.42578125" style="101" customWidth="1"/>
    <col min="14" max="14" width="15.42578125" style="101" customWidth="1"/>
    <col min="15" max="16384" width="9.140625" style="101"/>
  </cols>
  <sheetData>
    <row r="2" spans="1:13" ht="38.25" customHeight="1" x14ac:dyDescent="0.2">
      <c r="A2" s="317" t="s">
        <v>11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3" x14ac:dyDescent="0.2">
      <c r="A3" s="317" t="s">
        <v>329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3" x14ac:dyDescent="0.2">
      <c r="A4" s="296" t="s">
        <v>0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3" ht="13.9" thickBot="1" x14ac:dyDescent="0.3">
      <c r="J5" s="1"/>
    </row>
    <row r="6" spans="1:13" ht="52.5" customHeight="1" x14ac:dyDescent="0.2">
      <c r="A6" s="318" t="s">
        <v>10</v>
      </c>
      <c r="B6" s="323" t="s">
        <v>6</v>
      </c>
      <c r="C6" s="323" t="s">
        <v>7</v>
      </c>
      <c r="D6" s="323"/>
      <c r="E6" s="325" t="s">
        <v>8</v>
      </c>
      <c r="F6" s="326"/>
      <c r="G6" s="327"/>
      <c r="H6" s="323" t="s">
        <v>9</v>
      </c>
      <c r="I6" s="323"/>
      <c r="J6" s="328"/>
    </row>
    <row r="7" spans="1:13" ht="40.5" customHeight="1" thickBot="1" x14ac:dyDescent="0.25">
      <c r="A7" s="319"/>
      <c r="B7" s="324"/>
      <c r="C7" s="102" t="s">
        <v>1</v>
      </c>
      <c r="D7" s="102" t="s">
        <v>2</v>
      </c>
      <c r="E7" s="103" t="s">
        <v>3</v>
      </c>
      <c r="F7" s="102" t="s">
        <v>4</v>
      </c>
      <c r="G7" s="102" t="s">
        <v>5</v>
      </c>
      <c r="H7" s="103" t="s">
        <v>3</v>
      </c>
      <c r="I7" s="102" t="s">
        <v>4</v>
      </c>
      <c r="J7" s="206" t="s">
        <v>5</v>
      </c>
    </row>
    <row r="8" spans="1:13" ht="25.5" x14ac:dyDescent="0.2">
      <c r="A8" s="104" t="s">
        <v>330</v>
      </c>
      <c r="B8" s="105" t="s">
        <v>280</v>
      </c>
      <c r="C8" s="106" t="s">
        <v>331</v>
      </c>
      <c r="D8" s="107" t="s">
        <v>332</v>
      </c>
      <c r="E8" s="108">
        <v>423500</v>
      </c>
      <c r="F8" s="108">
        <v>423500</v>
      </c>
      <c r="G8" s="108">
        <v>423500</v>
      </c>
      <c r="H8" s="109">
        <v>23563.200000000001</v>
      </c>
      <c r="I8" s="109">
        <v>23563.200000000001</v>
      </c>
      <c r="J8" s="110">
        <v>23563.200000000001</v>
      </c>
      <c r="M8" s="198"/>
    </row>
    <row r="9" spans="1:13" ht="25.5" x14ac:dyDescent="0.2">
      <c r="A9" s="111" t="s">
        <v>333</v>
      </c>
      <c r="B9" s="112" t="s">
        <v>334</v>
      </c>
      <c r="C9" s="113" t="s">
        <v>335</v>
      </c>
      <c r="D9" s="114" t="s">
        <v>226</v>
      </c>
      <c r="E9" s="115">
        <f>24+13</f>
        <v>37</v>
      </c>
      <c r="F9" s="115">
        <f t="shared" ref="F9:G9" si="0">24+13</f>
        <v>37</v>
      </c>
      <c r="G9" s="115">
        <f t="shared" si="0"/>
        <v>37</v>
      </c>
      <c r="H9" s="116">
        <f>1272+294.31</f>
        <v>1566.31</v>
      </c>
      <c r="I9" s="116">
        <f t="shared" ref="I9:J9" si="1">1272+294.31</f>
        <v>1566.31</v>
      </c>
      <c r="J9" s="117">
        <f t="shared" si="1"/>
        <v>1566.31</v>
      </c>
      <c r="M9" s="198"/>
    </row>
    <row r="10" spans="1:13" ht="25.5" x14ac:dyDescent="0.2">
      <c r="A10" s="111" t="s">
        <v>336</v>
      </c>
      <c r="B10" s="112" t="s">
        <v>337</v>
      </c>
      <c r="C10" s="113" t="s">
        <v>338</v>
      </c>
      <c r="D10" s="103" t="s">
        <v>339</v>
      </c>
      <c r="E10" s="115">
        <v>99</v>
      </c>
      <c r="F10" s="115">
        <v>104</v>
      </c>
      <c r="G10" s="115">
        <v>104</v>
      </c>
      <c r="H10" s="116">
        <v>2970</v>
      </c>
      <c r="I10" s="116">
        <v>2970</v>
      </c>
      <c r="J10" s="117">
        <v>2970</v>
      </c>
      <c r="M10" s="198"/>
    </row>
    <row r="11" spans="1:13" ht="25.5" x14ac:dyDescent="0.2">
      <c r="A11" s="111" t="s">
        <v>340</v>
      </c>
      <c r="B11" s="112" t="s">
        <v>341</v>
      </c>
      <c r="C11" s="113" t="s">
        <v>342</v>
      </c>
      <c r="D11" s="118" t="s">
        <v>327</v>
      </c>
      <c r="E11" s="115">
        <v>106</v>
      </c>
      <c r="F11" s="115">
        <v>108</v>
      </c>
      <c r="G11" s="115">
        <v>111</v>
      </c>
      <c r="H11" s="116">
        <v>3710</v>
      </c>
      <c r="I11" s="116">
        <v>3710</v>
      </c>
      <c r="J11" s="117">
        <v>3710</v>
      </c>
      <c r="M11" s="198"/>
    </row>
    <row r="12" spans="1:13" ht="38.25" x14ac:dyDescent="0.2">
      <c r="A12" s="119" t="s">
        <v>343</v>
      </c>
      <c r="B12" s="120" t="s">
        <v>344</v>
      </c>
      <c r="C12" s="121" t="s">
        <v>345</v>
      </c>
      <c r="D12" s="118" t="s">
        <v>327</v>
      </c>
      <c r="E12" s="115">
        <v>6</v>
      </c>
      <c r="F12" s="115">
        <v>6</v>
      </c>
      <c r="G12" s="115">
        <v>6</v>
      </c>
      <c r="H12" s="116">
        <v>210</v>
      </c>
      <c r="I12" s="116">
        <v>210</v>
      </c>
      <c r="J12" s="117">
        <v>210</v>
      </c>
      <c r="M12" s="198"/>
    </row>
    <row r="13" spans="1:13" ht="25.5" x14ac:dyDescent="0.2">
      <c r="A13" s="119" t="s">
        <v>346</v>
      </c>
      <c r="B13" s="120" t="s">
        <v>347</v>
      </c>
      <c r="C13" s="121" t="s">
        <v>348</v>
      </c>
      <c r="D13" s="114" t="s">
        <v>226</v>
      </c>
      <c r="E13" s="115">
        <f>7+8</f>
        <v>15</v>
      </c>
      <c r="F13" s="115">
        <f t="shared" ref="F13:G13" si="2">7+8</f>
        <v>15</v>
      </c>
      <c r="G13" s="115">
        <f t="shared" si="2"/>
        <v>15</v>
      </c>
      <c r="H13" s="116">
        <f>237+30</f>
        <v>267</v>
      </c>
      <c r="I13" s="116">
        <f t="shared" ref="I13:J13" si="3">237+30</f>
        <v>267</v>
      </c>
      <c r="J13" s="117">
        <f t="shared" si="3"/>
        <v>267</v>
      </c>
      <c r="M13" s="198"/>
    </row>
    <row r="14" spans="1:13" ht="20.25" customHeight="1" thickBot="1" x14ac:dyDescent="0.25">
      <c r="A14" s="122" t="s">
        <v>349</v>
      </c>
      <c r="B14" s="123" t="s">
        <v>320</v>
      </c>
      <c r="C14" s="124" t="s">
        <v>350</v>
      </c>
      <c r="D14" s="125" t="s">
        <v>226</v>
      </c>
      <c r="E14" s="126">
        <v>6000</v>
      </c>
      <c r="F14" s="126">
        <v>6000</v>
      </c>
      <c r="G14" s="126">
        <v>6000</v>
      </c>
      <c r="H14" s="127">
        <v>2890</v>
      </c>
      <c r="I14" s="127">
        <v>2890</v>
      </c>
      <c r="J14" s="128">
        <v>2890</v>
      </c>
      <c r="M14" s="198"/>
    </row>
    <row r="15" spans="1:13" ht="38.25" x14ac:dyDescent="0.2">
      <c r="A15" s="207" t="s">
        <v>343</v>
      </c>
      <c r="B15" s="129" t="s">
        <v>344</v>
      </c>
      <c r="C15" s="130" t="s">
        <v>351</v>
      </c>
      <c r="D15" s="130" t="s">
        <v>352</v>
      </c>
      <c r="E15" s="130">
        <v>2</v>
      </c>
      <c r="F15" s="130">
        <v>2</v>
      </c>
      <c r="G15" s="130">
        <v>2</v>
      </c>
      <c r="H15" s="131">
        <v>244.5</v>
      </c>
      <c r="I15" s="131">
        <v>244.5</v>
      </c>
      <c r="J15" s="208">
        <v>244.5</v>
      </c>
      <c r="M15" s="198"/>
    </row>
    <row r="16" spans="1:13" x14ac:dyDescent="0.2">
      <c r="A16" s="209" t="s">
        <v>353</v>
      </c>
      <c r="B16" s="132" t="s">
        <v>354</v>
      </c>
      <c r="C16" s="102" t="s">
        <v>355</v>
      </c>
      <c r="D16" s="102" t="s">
        <v>352</v>
      </c>
      <c r="E16" s="102">
        <v>4</v>
      </c>
      <c r="F16" s="102">
        <v>4</v>
      </c>
      <c r="G16" s="102">
        <v>4</v>
      </c>
      <c r="H16" s="116">
        <v>1583.6</v>
      </c>
      <c r="I16" s="116">
        <v>1583.6</v>
      </c>
      <c r="J16" s="117">
        <v>1583.6</v>
      </c>
      <c r="M16" s="198"/>
    </row>
    <row r="17" spans="1:13" x14ac:dyDescent="0.2">
      <c r="A17" s="209" t="s">
        <v>356</v>
      </c>
      <c r="B17" s="132" t="s">
        <v>347</v>
      </c>
      <c r="C17" s="102" t="s">
        <v>357</v>
      </c>
      <c r="D17" s="102" t="s">
        <v>352</v>
      </c>
      <c r="E17" s="102">
        <v>130</v>
      </c>
      <c r="F17" s="102">
        <v>140</v>
      </c>
      <c r="G17" s="102">
        <v>140</v>
      </c>
      <c r="H17" s="116">
        <v>4762.8</v>
      </c>
      <c r="I17" s="116">
        <v>4762.8</v>
      </c>
      <c r="J17" s="117">
        <v>4762.8</v>
      </c>
      <c r="M17" s="198"/>
    </row>
    <row r="18" spans="1:13" ht="25.5" x14ac:dyDescent="0.2">
      <c r="A18" s="209" t="s">
        <v>358</v>
      </c>
      <c r="B18" s="132" t="s">
        <v>359</v>
      </c>
      <c r="C18" s="102" t="s">
        <v>360</v>
      </c>
      <c r="D18" s="102" t="s">
        <v>352</v>
      </c>
      <c r="E18" s="102">
        <v>4000</v>
      </c>
      <c r="F18" s="102">
        <v>4000</v>
      </c>
      <c r="G18" s="102">
        <v>4000</v>
      </c>
      <c r="H18" s="116">
        <v>1700</v>
      </c>
      <c r="I18" s="116">
        <v>1700</v>
      </c>
      <c r="J18" s="117">
        <v>1700</v>
      </c>
      <c r="M18" s="198"/>
    </row>
    <row r="19" spans="1:13" ht="13.5" thickBot="1" x14ac:dyDescent="0.25">
      <c r="A19" s="209" t="s">
        <v>361</v>
      </c>
      <c r="B19" s="132" t="s">
        <v>362</v>
      </c>
      <c r="C19" s="102" t="s">
        <v>363</v>
      </c>
      <c r="D19" s="102" t="s">
        <v>352</v>
      </c>
      <c r="E19" s="102">
        <v>950000</v>
      </c>
      <c r="F19" s="102">
        <v>950000</v>
      </c>
      <c r="G19" s="102">
        <v>950000</v>
      </c>
      <c r="H19" s="127">
        <v>12730</v>
      </c>
      <c r="I19" s="127">
        <v>12730</v>
      </c>
      <c r="J19" s="128">
        <v>12730</v>
      </c>
      <c r="M19" s="198"/>
    </row>
    <row r="20" spans="1:13" ht="25.5" x14ac:dyDescent="0.2">
      <c r="A20" s="133" t="s">
        <v>171</v>
      </c>
      <c r="B20" s="134" t="s">
        <v>364</v>
      </c>
      <c r="C20" s="135" t="s">
        <v>365</v>
      </c>
      <c r="D20" s="136" t="s">
        <v>366</v>
      </c>
      <c r="E20" s="136">
        <v>162</v>
      </c>
      <c r="F20" s="136">
        <v>162</v>
      </c>
      <c r="G20" s="136">
        <v>162</v>
      </c>
      <c r="H20" s="109">
        <v>2109.4</v>
      </c>
      <c r="I20" s="109">
        <v>2109.4</v>
      </c>
      <c r="J20" s="110">
        <v>2109.4</v>
      </c>
      <c r="M20" s="198"/>
    </row>
    <row r="21" spans="1:13" ht="33.75" customHeight="1" x14ac:dyDescent="0.2">
      <c r="A21" s="137" t="s">
        <v>214</v>
      </c>
      <c r="B21" s="132" t="s">
        <v>367</v>
      </c>
      <c r="C21" s="102" t="s">
        <v>365</v>
      </c>
      <c r="D21" s="138" t="s">
        <v>366</v>
      </c>
      <c r="E21" s="138">
        <v>18</v>
      </c>
      <c r="F21" s="138">
        <v>18</v>
      </c>
      <c r="G21" s="138">
        <v>18</v>
      </c>
      <c r="H21" s="116">
        <v>234.4</v>
      </c>
      <c r="I21" s="116">
        <v>234.4</v>
      </c>
      <c r="J21" s="117">
        <v>234.4</v>
      </c>
      <c r="M21" s="198"/>
    </row>
    <row r="22" spans="1:13" ht="25.5" x14ac:dyDescent="0.2">
      <c r="A22" s="137" t="s">
        <v>368</v>
      </c>
      <c r="B22" s="132" t="s">
        <v>369</v>
      </c>
      <c r="C22" s="102" t="s">
        <v>365</v>
      </c>
      <c r="D22" s="138" t="s">
        <v>366</v>
      </c>
      <c r="E22" s="138">
        <v>9</v>
      </c>
      <c r="F22" s="138">
        <v>9</v>
      </c>
      <c r="G22" s="138">
        <v>9</v>
      </c>
      <c r="H22" s="116">
        <v>117.2</v>
      </c>
      <c r="I22" s="116">
        <v>117.2</v>
      </c>
      <c r="J22" s="117">
        <v>117.2</v>
      </c>
      <c r="M22" s="198"/>
    </row>
    <row r="23" spans="1:13" ht="25.5" x14ac:dyDescent="0.2">
      <c r="A23" s="210" t="s">
        <v>172</v>
      </c>
      <c r="B23" s="132" t="s">
        <v>170</v>
      </c>
      <c r="C23" s="102" t="s">
        <v>216</v>
      </c>
      <c r="D23" s="138" t="s">
        <v>366</v>
      </c>
      <c r="E23" s="138">
        <v>415</v>
      </c>
      <c r="F23" s="138">
        <v>415</v>
      </c>
      <c r="G23" s="138">
        <v>415</v>
      </c>
      <c r="H23" s="116">
        <v>5403.7</v>
      </c>
      <c r="I23" s="116">
        <v>5403.7</v>
      </c>
      <c r="J23" s="117">
        <v>5403.7</v>
      </c>
      <c r="M23" s="198"/>
    </row>
    <row r="24" spans="1:13" ht="51.75" thickBot="1" x14ac:dyDescent="0.25">
      <c r="A24" s="139" t="s">
        <v>370</v>
      </c>
      <c r="B24" s="140" t="s">
        <v>371</v>
      </c>
      <c r="C24" s="141" t="s">
        <v>216</v>
      </c>
      <c r="D24" s="142" t="s">
        <v>366</v>
      </c>
      <c r="E24" s="142">
        <v>45</v>
      </c>
      <c r="F24" s="142">
        <v>45</v>
      </c>
      <c r="G24" s="142">
        <v>45</v>
      </c>
      <c r="H24" s="127">
        <v>586.20000000000005</v>
      </c>
      <c r="I24" s="127">
        <v>586.20000000000005</v>
      </c>
      <c r="J24" s="128">
        <v>586.20000000000005</v>
      </c>
      <c r="M24" s="198"/>
    </row>
    <row r="25" spans="1:13" ht="25.5" x14ac:dyDescent="0.2">
      <c r="A25" s="119" t="s">
        <v>372</v>
      </c>
      <c r="B25" s="143" t="s">
        <v>373</v>
      </c>
      <c r="C25" s="144" t="s">
        <v>108</v>
      </c>
      <c r="D25" s="102" t="s">
        <v>220</v>
      </c>
      <c r="E25" s="145">
        <v>400</v>
      </c>
      <c r="F25" s="145">
        <v>450</v>
      </c>
      <c r="G25" s="145">
        <v>450</v>
      </c>
      <c r="H25" s="146">
        <v>1465.5</v>
      </c>
      <c r="I25" s="146">
        <v>1465.5</v>
      </c>
      <c r="J25" s="147">
        <v>1465.5</v>
      </c>
      <c r="L25" s="199"/>
      <c r="M25" s="200"/>
    </row>
    <row r="26" spans="1:13" x14ac:dyDescent="0.2">
      <c r="A26" s="148" t="s">
        <v>353</v>
      </c>
      <c r="B26" s="132" t="s">
        <v>354</v>
      </c>
      <c r="C26" s="102" t="s">
        <v>57</v>
      </c>
      <c r="D26" s="114" t="s">
        <v>327</v>
      </c>
      <c r="E26" s="145">
        <v>24</v>
      </c>
      <c r="F26" s="145">
        <v>24</v>
      </c>
      <c r="G26" s="145">
        <v>24</v>
      </c>
      <c r="H26" s="146">
        <v>95</v>
      </c>
      <c r="I26" s="146">
        <v>95</v>
      </c>
      <c r="J26" s="147">
        <v>95</v>
      </c>
      <c r="L26" s="199"/>
      <c r="M26" s="200"/>
    </row>
    <row r="27" spans="1:13" ht="51" x14ac:dyDescent="0.2">
      <c r="A27" s="111" t="s">
        <v>374</v>
      </c>
      <c r="B27" s="132" t="s">
        <v>375</v>
      </c>
      <c r="C27" s="102" t="s">
        <v>376</v>
      </c>
      <c r="D27" s="114" t="s">
        <v>339</v>
      </c>
      <c r="E27" s="145">
        <v>195</v>
      </c>
      <c r="F27" s="145">
        <v>205</v>
      </c>
      <c r="G27" s="145">
        <v>190</v>
      </c>
      <c r="H27" s="146">
        <v>304</v>
      </c>
      <c r="I27" s="146">
        <v>304</v>
      </c>
      <c r="J27" s="147">
        <v>304</v>
      </c>
      <c r="L27" s="199"/>
      <c r="M27" s="200"/>
    </row>
    <row r="28" spans="1:13" ht="51" x14ac:dyDescent="0.2">
      <c r="A28" s="148" t="s">
        <v>377</v>
      </c>
      <c r="B28" s="149" t="s">
        <v>378</v>
      </c>
      <c r="C28" s="102" t="s">
        <v>379</v>
      </c>
      <c r="D28" s="102" t="s">
        <v>366</v>
      </c>
      <c r="E28" s="145">
        <v>450</v>
      </c>
      <c r="F28" s="145">
        <v>450</v>
      </c>
      <c r="G28" s="145">
        <v>450</v>
      </c>
      <c r="H28" s="146">
        <v>2300</v>
      </c>
      <c r="I28" s="146">
        <v>2300</v>
      </c>
      <c r="J28" s="147">
        <v>2300</v>
      </c>
      <c r="L28" s="199"/>
      <c r="M28" s="200"/>
    </row>
    <row r="29" spans="1:13" ht="51" x14ac:dyDescent="0.2">
      <c r="A29" s="148" t="s">
        <v>377</v>
      </c>
      <c r="B29" s="132" t="s">
        <v>380</v>
      </c>
      <c r="C29" s="102" t="s">
        <v>57</v>
      </c>
      <c r="D29" s="114" t="s">
        <v>327</v>
      </c>
      <c r="E29" s="145">
        <v>12</v>
      </c>
      <c r="F29" s="145">
        <v>12</v>
      </c>
      <c r="G29" s="145">
        <v>12</v>
      </c>
      <c r="H29" s="146">
        <v>469</v>
      </c>
      <c r="I29" s="146">
        <v>469</v>
      </c>
      <c r="J29" s="147">
        <v>469</v>
      </c>
      <c r="L29" s="199"/>
      <c r="M29" s="200"/>
    </row>
    <row r="30" spans="1:13" ht="51" x14ac:dyDescent="0.2">
      <c r="A30" s="148" t="s">
        <v>381</v>
      </c>
      <c r="B30" s="149" t="s">
        <v>382</v>
      </c>
      <c r="C30" s="102" t="s">
        <v>383</v>
      </c>
      <c r="D30" s="102" t="s">
        <v>339</v>
      </c>
      <c r="E30" s="145">
        <v>250</v>
      </c>
      <c r="F30" s="145">
        <v>250</v>
      </c>
      <c r="G30" s="145">
        <v>250</v>
      </c>
      <c r="H30" s="146">
        <v>2187</v>
      </c>
      <c r="I30" s="146">
        <v>2187</v>
      </c>
      <c r="J30" s="147">
        <v>2187</v>
      </c>
      <c r="L30" s="199"/>
      <c r="M30" s="200"/>
    </row>
    <row r="31" spans="1:13" ht="25.5" x14ac:dyDescent="0.2">
      <c r="A31" s="148" t="s">
        <v>356</v>
      </c>
      <c r="B31" s="132" t="s">
        <v>347</v>
      </c>
      <c r="C31" s="102" t="s">
        <v>384</v>
      </c>
      <c r="D31" s="114"/>
      <c r="E31" s="145">
        <v>25000</v>
      </c>
      <c r="F31" s="145">
        <v>25000</v>
      </c>
      <c r="G31" s="145">
        <v>25000</v>
      </c>
      <c r="H31" s="146">
        <v>92</v>
      </c>
      <c r="I31" s="146">
        <v>92</v>
      </c>
      <c r="J31" s="147">
        <v>92</v>
      </c>
      <c r="L31" s="199"/>
      <c r="M31" s="200"/>
    </row>
    <row r="32" spans="1:13" ht="25.5" x14ac:dyDescent="0.2">
      <c r="A32" s="148" t="s">
        <v>385</v>
      </c>
      <c r="B32" s="143" t="s">
        <v>386</v>
      </c>
      <c r="C32" s="150" t="s">
        <v>108</v>
      </c>
      <c r="D32" s="102" t="s">
        <v>339</v>
      </c>
      <c r="E32" s="145">
        <v>2395</v>
      </c>
      <c r="F32" s="145">
        <v>2450</v>
      </c>
      <c r="G32" s="145">
        <v>2600</v>
      </c>
      <c r="H32" s="146">
        <v>8500</v>
      </c>
      <c r="I32" s="146">
        <v>8500</v>
      </c>
      <c r="J32" s="147">
        <v>8500</v>
      </c>
      <c r="L32" s="199"/>
      <c r="M32" s="200"/>
    </row>
    <row r="33" spans="1:14" ht="25.5" x14ac:dyDescent="0.2">
      <c r="A33" s="148" t="s">
        <v>377</v>
      </c>
      <c r="B33" s="132" t="s">
        <v>387</v>
      </c>
      <c r="C33" s="102" t="s">
        <v>388</v>
      </c>
      <c r="D33" s="102" t="s">
        <v>339</v>
      </c>
      <c r="E33" s="145">
        <v>6000</v>
      </c>
      <c r="F33" s="145">
        <v>6000</v>
      </c>
      <c r="G33" s="145">
        <v>6000</v>
      </c>
      <c r="H33" s="146">
        <v>520</v>
      </c>
      <c r="I33" s="146">
        <v>520</v>
      </c>
      <c r="J33" s="147">
        <v>520</v>
      </c>
      <c r="L33" s="199"/>
      <c r="M33" s="200"/>
    </row>
    <row r="34" spans="1:14" x14ac:dyDescent="0.2">
      <c r="A34" s="148" t="s">
        <v>385</v>
      </c>
      <c r="B34" s="132" t="s">
        <v>389</v>
      </c>
      <c r="C34" s="102" t="s">
        <v>108</v>
      </c>
      <c r="D34" s="102" t="s">
        <v>339</v>
      </c>
      <c r="E34" s="145">
        <v>105</v>
      </c>
      <c r="F34" s="145">
        <v>100</v>
      </c>
      <c r="G34" s="145">
        <v>100</v>
      </c>
      <c r="H34" s="146">
        <v>425</v>
      </c>
      <c r="I34" s="146">
        <v>425</v>
      </c>
      <c r="J34" s="147">
        <v>425</v>
      </c>
      <c r="L34" s="199"/>
      <c r="M34" s="200"/>
    </row>
    <row r="35" spans="1:14" ht="38.25" x14ac:dyDescent="0.2">
      <c r="A35" s="148" t="s">
        <v>390</v>
      </c>
      <c r="B35" s="132" t="s">
        <v>391</v>
      </c>
      <c r="C35" s="102" t="s">
        <v>108</v>
      </c>
      <c r="D35" s="102" t="s">
        <v>339</v>
      </c>
      <c r="E35" s="138">
        <v>2500</v>
      </c>
      <c r="F35" s="138">
        <v>2500</v>
      </c>
      <c r="G35" s="138">
        <v>2500</v>
      </c>
      <c r="H35" s="146">
        <v>535.29999999999995</v>
      </c>
      <c r="I35" s="146">
        <v>535.29999999999995</v>
      </c>
      <c r="J35" s="147">
        <v>535.29999999999995</v>
      </c>
      <c r="L35" s="199"/>
      <c r="M35" s="200"/>
    </row>
    <row r="36" spans="1:14" ht="38.25" x14ac:dyDescent="0.2">
      <c r="A36" s="148" t="s">
        <v>390</v>
      </c>
      <c r="B36" s="132" t="s">
        <v>391</v>
      </c>
      <c r="C36" s="102" t="s">
        <v>392</v>
      </c>
      <c r="D36" s="102" t="s">
        <v>339</v>
      </c>
      <c r="E36" s="138">
        <v>1500</v>
      </c>
      <c r="F36" s="138">
        <v>1500</v>
      </c>
      <c r="G36" s="138">
        <v>1500</v>
      </c>
      <c r="H36" s="146">
        <v>320</v>
      </c>
      <c r="I36" s="146">
        <v>320</v>
      </c>
      <c r="J36" s="147">
        <v>320</v>
      </c>
      <c r="L36" s="199"/>
      <c r="M36" s="200"/>
    </row>
    <row r="37" spans="1:14" ht="38.25" x14ac:dyDescent="0.2">
      <c r="A37" s="148" t="s">
        <v>390</v>
      </c>
      <c r="B37" s="132" t="s">
        <v>391</v>
      </c>
      <c r="C37" s="102" t="s">
        <v>393</v>
      </c>
      <c r="D37" s="102" t="s">
        <v>339</v>
      </c>
      <c r="E37" s="138">
        <v>150</v>
      </c>
      <c r="F37" s="138">
        <v>150</v>
      </c>
      <c r="G37" s="138">
        <v>150</v>
      </c>
      <c r="H37" s="146">
        <v>32</v>
      </c>
      <c r="I37" s="146">
        <v>32</v>
      </c>
      <c r="J37" s="147">
        <v>32</v>
      </c>
      <c r="L37" s="199"/>
      <c r="M37" s="200"/>
    </row>
    <row r="38" spans="1:14" ht="25.5" x14ac:dyDescent="0.2">
      <c r="A38" s="148" t="s">
        <v>394</v>
      </c>
      <c r="B38" s="132" t="s">
        <v>395</v>
      </c>
      <c r="C38" s="102" t="s">
        <v>108</v>
      </c>
      <c r="D38" s="102" t="s">
        <v>339</v>
      </c>
      <c r="E38" s="145">
        <v>4</v>
      </c>
      <c r="F38" s="145">
        <v>4</v>
      </c>
      <c r="G38" s="145">
        <v>5</v>
      </c>
      <c r="H38" s="146">
        <v>175</v>
      </c>
      <c r="I38" s="146">
        <v>175</v>
      </c>
      <c r="J38" s="147">
        <v>175</v>
      </c>
      <c r="L38" s="199"/>
      <c r="M38" s="200"/>
    </row>
    <row r="39" spans="1:14" ht="25.5" x14ac:dyDescent="0.2">
      <c r="A39" s="148" t="s">
        <v>232</v>
      </c>
      <c r="B39" s="132" t="s">
        <v>233</v>
      </c>
      <c r="C39" s="102" t="s">
        <v>108</v>
      </c>
      <c r="D39" s="102" t="s">
        <v>339</v>
      </c>
      <c r="E39" s="145">
        <f>24+7</f>
        <v>31</v>
      </c>
      <c r="F39" s="145">
        <f>24+6</f>
        <v>30</v>
      </c>
      <c r="G39" s="145">
        <f>25+6</f>
        <v>31</v>
      </c>
      <c r="H39" s="146">
        <f>1127+986.14</f>
        <v>2113.14</v>
      </c>
      <c r="I39" s="146">
        <f>1127+1345.26</f>
        <v>2472.2600000000002</v>
      </c>
      <c r="J39" s="147">
        <f>1127+1345.26</f>
        <v>2472.2600000000002</v>
      </c>
      <c r="L39" s="199"/>
      <c r="M39" s="200"/>
    </row>
    <row r="40" spans="1:14" ht="25.5" x14ac:dyDescent="0.2">
      <c r="A40" s="148" t="s">
        <v>239</v>
      </c>
      <c r="B40" s="132" t="s">
        <v>240</v>
      </c>
      <c r="C40" s="102" t="s">
        <v>108</v>
      </c>
      <c r="D40" s="102" t="s">
        <v>339</v>
      </c>
      <c r="E40" s="145">
        <f>10+3</f>
        <v>13</v>
      </c>
      <c r="F40" s="145">
        <v>11</v>
      </c>
      <c r="G40" s="145">
        <v>12</v>
      </c>
      <c r="H40" s="146">
        <f>474+498.02</f>
        <v>972.02</v>
      </c>
      <c r="I40" s="146">
        <f>474+666.01</f>
        <v>1140.01</v>
      </c>
      <c r="J40" s="147">
        <f>474+666.01</f>
        <v>1140.01</v>
      </c>
      <c r="L40" s="199"/>
      <c r="M40" s="200"/>
    </row>
    <row r="41" spans="1:14" ht="39" thickBot="1" x14ac:dyDescent="0.25">
      <c r="A41" s="151" t="s">
        <v>396</v>
      </c>
      <c r="B41" s="152" t="s">
        <v>397</v>
      </c>
      <c r="C41" s="153" t="s">
        <v>398</v>
      </c>
      <c r="D41" s="153" t="s">
        <v>339</v>
      </c>
      <c r="E41" s="154">
        <v>10</v>
      </c>
      <c r="F41" s="154">
        <v>10</v>
      </c>
      <c r="G41" s="154">
        <v>10</v>
      </c>
      <c r="H41" s="155">
        <v>573</v>
      </c>
      <c r="I41" s="155">
        <v>573</v>
      </c>
      <c r="J41" s="156">
        <v>573</v>
      </c>
      <c r="L41" s="199"/>
      <c r="M41" s="200"/>
      <c r="N41" s="201"/>
    </row>
    <row r="42" spans="1:14" ht="25.5" x14ac:dyDescent="0.2">
      <c r="A42" s="157" t="s">
        <v>399</v>
      </c>
      <c r="B42" s="158" t="s">
        <v>400</v>
      </c>
      <c r="C42" s="159" t="s">
        <v>108</v>
      </c>
      <c r="D42" s="159" t="s">
        <v>339</v>
      </c>
      <c r="E42" s="160">
        <v>630</v>
      </c>
      <c r="F42" s="160">
        <v>663</v>
      </c>
      <c r="G42" s="160">
        <v>696</v>
      </c>
      <c r="H42" s="161">
        <v>3850</v>
      </c>
      <c r="I42" s="161">
        <v>3850</v>
      </c>
      <c r="J42" s="211">
        <v>3850</v>
      </c>
      <c r="L42" s="199"/>
      <c r="M42" s="200"/>
      <c r="N42" s="202"/>
    </row>
    <row r="43" spans="1:14" ht="105" customHeight="1" x14ac:dyDescent="0.2">
      <c r="A43" s="162" t="s">
        <v>401</v>
      </c>
      <c r="B43" s="149" t="s">
        <v>402</v>
      </c>
      <c r="C43" s="103" t="s">
        <v>403</v>
      </c>
      <c r="D43" s="103" t="s">
        <v>339</v>
      </c>
      <c r="E43" s="163">
        <v>28100</v>
      </c>
      <c r="F43" s="163">
        <v>28600</v>
      </c>
      <c r="G43" s="163">
        <v>29000</v>
      </c>
      <c r="H43" s="164">
        <v>1700</v>
      </c>
      <c r="I43" s="164">
        <v>1700</v>
      </c>
      <c r="J43" s="212">
        <v>1700</v>
      </c>
      <c r="L43" s="199"/>
      <c r="M43" s="200"/>
      <c r="N43" s="201"/>
    </row>
    <row r="44" spans="1:14" ht="89.25" x14ac:dyDescent="0.2">
      <c r="A44" s="162" t="s">
        <v>401</v>
      </c>
      <c r="B44" s="149" t="s">
        <v>404</v>
      </c>
      <c r="C44" s="103" t="s">
        <v>405</v>
      </c>
      <c r="D44" s="103" t="s">
        <v>339</v>
      </c>
      <c r="E44" s="163">
        <v>4130</v>
      </c>
      <c r="F44" s="163">
        <v>4140</v>
      </c>
      <c r="G44" s="163">
        <v>4150</v>
      </c>
      <c r="H44" s="164">
        <v>250</v>
      </c>
      <c r="I44" s="164">
        <v>250</v>
      </c>
      <c r="J44" s="212">
        <v>250</v>
      </c>
      <c r="L44" s="199"/>
      <c r="M44" s="200"/>
    </row>
    <row r="45" spans="1:14" ht="89.25" x14ac:dyDescent="0.2">
      <c r="A45" s="162" t="s">
        <v>401</v>
      </c>
      <c r="B45" s="149" t="s">
        <v>404</v>
      </c>
      <c r="C45" s="165" t="s">
        <v>406</v>
      </c>
      <c r="D45" s="165" t="s">
        <v>339</v>
      </c>
      <c r="E45" s="166">
        <v>1000</v>
      </c>
      <c r="F45" s="166">
        <v>1100</v>
      </c>
      <c r="G45" s="167">
        <v>1200</v>
      </c>
      <c r="H45" s="164">
        <v>60</v>
      </c>
      <c r="I45" s="164">
        <v>60</v>
      </c>
      <c r="J45" s="212">
        <v>60</v>
      </c>
      <c r="L45" s="199"/>
      <c r="M45" s="200"/>
    </row>
    <row r="46" spans="1:14" ht="114.75" x14ac:dyDescent="0.2">
      <c r="A46" s="162" t="s">
        <v>407</v>
      </c>
      <c r="B46" s="149" t="s">
        <v>408</v>
      </c>
      <c r="C46" s="103" t="s">
        <v>409</v>
      </c>
      <c r="D46" s="103" t="s">
        <v>366</v>
      </c>
      <c r="E46" s="163">
        <f>12+45</f>
        <v>57</v>
      </c>
      <c r="F46" s="163">
        <f>13+50</f>
        <v>63</v>
      </c>
      <c r="G46" s="163">
        <f>15+55</f>
        <v>70</v>
      </c>
      <c r="H46" s="164">
        <f>720+2700</f>
        <v>3420</v>
      </c>
      <c r="I46" s="164">
        <f t="shared" ref="I46:J46" si="4">720+2700</f>
        <v>3420</v>
      </c>
      <c r="J46" s="212">
        <f t="shared" si="4"/>
        <v>3420</v>
      </c>
      <c r="L46" s="199"/>
      <c r="M46" s="200"/>
    </row>
    <row r="47" spans="1:14" ht="102" x14ac:dyDescent="0.2">
      <c r="A47" s="162" t="s">
        <v>410</v>
      </c>
      <c r="B47" s="149" t="s">
        <v>411</v>
      </c>
      <c r="C47" s="103" t="s">
        <v>412</v>
      </c>
      <c r="D47" s="103" t="s">
        <v>366</v>
      </c>
      <c r="E47" s="163">
        <v>72</v>
      </c>
      <c r="F47" s="163">
        <v>75</v>
      </c>
      <c r="G47" s="163">
        <v>78</v>
      </c>
      <c r="H47" s="164">
        <v>1080</v>
      </c>
      <c r="I47" s="164">
        <v>1080</v>
      </c>
      <c r="J47" s="212">
        <v>1080</v>
      </c>
      <c r="L47" s="199"/>
      <c r="M47" s="200"/>
    </row>
    <row r="48" spans="1:14" ht="63.75" x14ac:dyDescent="0.2">
      <c r="A48" s="162" t="s">
        <v>413</v>
      </c>
      <c r="B48" s="168" t="s">
        <v>414</v>
      </c>
      <c r="C48" s="165" t="s">
        <v>57</v>
      </c>
      <c r="D48" s="165" t="s">
        <v>366</v>
      </c>
      <c r="E48" s="166">
        <v>18</v>
      </c>
      <c r="F48" s="166">
        <v>19</v>
      </c>
      <c r="G48" s="167">
        <v>20</v>
      </c>
      <c r="H48" s="164">
        <v>270</v>
      </c>
      <c r="I48" s="164">
        <v>270</v>
      </c>
      <c r="J48" s="212">
        <v>270</v>
      </c>
      <c r="L48" s="199"/>
      <c r="M48" s="200"/>
    </row>
    <row r="49" spans="1:16" ht="25.5" x14ac:dyDescent="0.2">
      <c r="A49" s="162" t="s">
        <v>415</v>
      </c>
      <c r="B49" s="149" t="s">
        <v>416</v>
      </c>
      <c r="C49" s="103" t="s">
        <v>417</v>
      </c>
      <c r="D49" s="103" t="s">
        <v>366</v>
      </c>
      <c r="E49" s="163">
        <v>6</v>
      </c>
      <c r="F49" s="163">
        <v>8</v>
      </c>
      <c r="G49" s="163">
        <v>12</v>
      </c>
      <c r="H49" s="164">
        <v>10</v>
      </c>
      <c r="I49" s="164">
        <v>10</v>
      </c>
      <c r="J49" s="212">
        <v>10</v>
      </c>
      <c r="L49" s="199"/>
      <c r="M49" s="200"/>
    </row>
    <row r="50" spans="1:16" ht="25.5" x14ac:dyDescent="0.2">
      <c r="A50" s="162" t="s">
        <v>415</v>
      </c>
      <c r="B50" s="149" t="s">
        <v>416</v>
      </c>
      <c r="C50" s="103" t="s">
        <v>418</v>
      </c>
      <c r="D50" s="103" t="s">
        <v>366</v>
      </c>
      <c r="E50" s="163">
        <v>2357</v>
      </c>
      <c r="F50" s="163">
        <v>2359</v>
      </c>
      <c r="G50" s="163">
        <v>2361</v>
      </c>
      <c r="H50" s="164">
        <v>2400</v>
      </c>
      <c r="I50" s="164">
        <v>2400</v>
      </c>
      <c r="J50" s="212">
        <v>2400</v>
      </c>
      <c r="L50" s="199"/>
      <c r="M50" s="200"/>
    </row>
    <row r="51" spans="1:16" ht="38.25" x14ac:dyDescent="0.2">
      <c r="A51" s="162" t="s">
        <v>415</v>
      </c>
      <c r="B51" s="149" t="s">
        <v>416</v>
      </c>
      <c r="C51" s="103" t="s">
        <v>419</v>
      </c>
      <c r="D51" s="103" t="s">
        <v>366</v>
      </c>
      <c r="E51" s="163">
        <v>36</v>
      </c>
      <c r="F51" s="163">
        <v>36</v>
      </c>
      <c r="G51" s="163">
        <v>38</v>
      </c>
      <c r="H51" s="164">
        <v>30</v>
      </c>
      <c r="I51" s="164">
        <v>30</v>
      </c>
      <c r="J51" s="212">
        <v>30</v>
      </c>
      <c r="L51" s="199"/>
      <c r="M51" s="200"/>
    </row>
    <row r="52" spans="1:16" ht="38.25" x14ac:dyDescent="0.2">
      <c r="A52" s="162" t="s">
        <v>420</v>
      </c>
      <c r="B52" s="149" t="s">
        <v>421</v>
      </c>
      <c r="C52" s="103" t="s">
        <v>422</v>
      </c>
      <c r="D52" s="103" t="s">
        <v>423</v>
      </c>
      <c r="E52" s="163">
        <v>1</v>
      </c>
      <c r="F52" s="163">
        <v>1</v>
      </c>
      <c r="G52" s="163">
        <v>1</v>
      </c>
      <c r="H52" s="164">
        <v>30</v>
      </c>
      <c r="I52" s="164">
        <v>30</v>
      </c>
      <c r="J52" s="212">
        <v>30</v>
      </c>
      <c r="L52" s="199"/>
      <c r="M52" s="200"/>
    </row>
    <row r="53" spans="1:16" ht="25.5" x14ac:dyDescent="0.2">
      <c r="A53" s="119" t="s">
        <v>424</v>
      </c>
      <c r="B53" s="169" t="s">
        <v>425</v>
      </c>
      <c r="C53" s="170" t="s">
        <v>426</v>
      </c>
      <c r="D53" s="170" t="s">
        <v>339</v>
      </c>
      <c r="E53" s="171">
        <v>1000</v>
      </c>
      <c r="F53" s="171">
        <v>1000</v>
      </c>
      <c r="G53" s="171">
        <v>1000</v>
      </c>
      <c r="H53" s="164">
        <v>450</v>
      </c>
      <c r="I53" s="164">
        <v>450</v>
      </c>
      <c r="J53" s="212">
        <v>450</v>
      </c>
      <c r="L53" s="199"/>
      <c r="M53" s="200"/>
    </row>
    <row r="54" spans="1:16" ht="38.25" x14ac:dyDescent="0.2">
      <c r="A54" s="162" t="s">
        <v>427</v>
      </c>
      <c r="B54" s="149" t="s">
        <v>428</v>
      </c>
      <c r="C54" s="103" t="s">
        <v>429</v>
      </c>
      <c r="D54" s="103" t="s">
        <v>366</v>
      </c>
      <c r="E54" s="163">
        <v>3</v>
      </c>
      <c r="F54" s="163">
        <v>3</v>
      </c>
      <c r="G54" s="163">
        <v>4</v>
      </c>
      <c r="H54" s="164">
        <v>450</v>
      </c>
      <c r="I54" s="164">
        <v>450</v>
      </c>
      <c r="J54" s="212">
        <v>450</v>
      </c>
      <c r="L54" s="199"/>
      <c r="M54" s="200"/>
    </row>
    <row r="55" spans="1:16" ht="38.25" x14ac:dyDescent="0.2">
      <c r="A55" s="162" t="s">
        <v>430</v>
      </c>
      <c r="B55" s="168" t="s">
        <v>431</v>
      </c>
      <c r="C55" s="165" t="s">
        <v>432</v>
      </c>
      <c r="D55" s="103" t="s">
        <v>339</v>
      </c>
      <c r="E55" s="166">
        <v>2200</v>
      </c>
      <c r="F55" s="166">
        <v>2400</v>
      </c>
      <c r="G55" s="167">
        <v>2600</v>
      </c>
      <c r="H55" s="164">
        <v>440</v>
      </c>
      <c r="I55" s="164">
        <v>440</v>
      </c>
      <c r="J55" s="212">
        <v>440</v>
      </c>
      <c r="L55" s="199"/>
      <c r="M55" s="200"/>
    </row>
    <row r="56" spans="1:16" ht="64.5" thickBot="1" x14ac:dyDescent="0.25">
      <c r="A56" s="172" t="s">
        <v>433</v>
      </c>
      <c r="B56" s="173" t="s">
        <v>434</v>
      </c>
      <c r="C56" s="174" t="s">
        <v>435</v>
      </c>
      <c r="D56" s="175" t="s">
        <v>339</v>
      </c>
      <c r="E56" s="176">
        <v>130</v>
      </c>
      <c r="F56" s="176">
        <v>140</v>
      </c>
      <c r="G56" s="177">
        <v>150</v>
      </c>
      <c r="H56" s="178">
        <f>250-42.6</f>
        <v>207.4</v>
      </c>
      <c r="I56" s="178">
        <f t="shared" ref="I56:J56" si="5">250-42.6</f>
        <v>207.4</v>
      </c>
      <c r="J56" s="213">
        <f t="shared" si="5"/>
        <v>207.4</v>
      </c>
      <c r="L56" s="199"/>
      <c r="M56" s="200"/>
    </row>
    <row r="57" spans="1:16" x14ac:dyDescent="0.2">
      <c r="A57" s="179" t="s">
        <v>436</v>
      </c>
      <c r="B57" s="180" t="s">
        <v>437</v>
      </c>
      <c r="C57" s="159" t="s">
        <v>438</v>
      </c>
      <c r="D57" s="159" t="s">
        <v>439</v>
      </c>
      <c r="E57" s="136">
        <v>15</v>
      </c>
      <c r="F57" s="136">
        <v>15</v>
      </c>
      <c r="G57" s="136">
        <v>15</v>
      </c>
      <c r="H57" s="181">
        <f>24615+6.8</f>
        <v>24621.8</v>
      </c>
      <c r="I57" s="181">
        <f t="shared" ref="I57:J57" si="6">24615+6.8</f>
        <v>24621.8</v>
      </c>
      <c r="J57" s="194">
        <f t="shared" si="6"/>
        <v>24621.8</v>
      </c>
      <c r="L57" s="199"/>
      <c r="M57" s="200"/>
    </row>
    <row r="58" spans="1:16" ht="25.5" x14ac:dyDescent="0.2">
      <c r="A58" s="182" t="s">
        <v>285</v>
      </c>
      <c r="B58" s="183" t="s">
        <v>440</v>
      </c>
      <c r="C58" s="103" t="s">
        <v>438</v>
      </c>
      <c r="D58" s="103" t="s">
        <v>439</v>
      </c>
      <c r="E58" s="138">
        <v>4</v>
      </c>
      <c r="F58" s="138">
        <v>4</v>
      </c>
      <c r="G58" s="138">
        <v>4</v>
      </c>
      <c r="H58" s="146">
        <v>48</v>
      </c>
      <c r="I58" s="146">
        <v>48</v>
      </c>
      <c r="J58" s="147">
        <v>48</v>
      </c>
      <c r="L58" s="199"/>
      <c r="M58" s="200"/>
    </row>
    <row r="59" spans="1:16" ht="25.5" x14ac:dyDescent="0.2">
      <c r="A59" s="182" t="s">
        <v>285</v>
      </c>
      <c r="B59" s="183" t="s">
        <v>441</v>
      </c>
      <c r="C59" s="103" t="s">
        <v>438</v>
      </c>
      <c r="D59" s="103" t="s">
        <v>439</v>
      </c>
      <c r="E59" s="138">
        <v>500</v>
      </c>
      <c r="F59" s="138">
        <v>500</v>
      </c>
      <c r="G59" s="138">
        <v>500</v>
      </c>
      <c r="H59" s="146">
        <v>750</v>
      </c>
      <c r="I59" s="146">
        <v>750</v>
      </c>
      <c r="J59" s="147">
        <v>750</v>
      </c>
      <c r="L59" s="199"/>
      <c r="M59" s="200"/>
    </row>
    <row r="60" spans="1:16" ht="25.5" x14ac:dyDescent="0.2">
      <c r="A60" s="182" t="s">
        <v>285</v>
      </c>
      <c r="B60" s="183" t="s">
        <v>442</v>
      </c>
      <c r="C60" s="103" t="s">
        <v>438</v>
      </c>
      <c r="D60" s="103" t="s">
        <v>439</v>
      </c>
      <c r="E60" s="138">
        <v>5</v>
      </c>
      <c r="F60" s="138">
        <v>5</v>
      </c>
      <c r="G60" s="138">
        <v>5</v>
      </c>
      <c r="H60" s="146">
        <v>25</v>
      </c>
      <c r="I60" s="146">
        <v>25</v>
      </c>
      <c r="J60" s="147">
        <v>25</v>
      </c>
      <c r="L60" s="199"/>
      <c r="M60" s="200"/>
    </row>
    <row r="61" spans="1:16" ht="26.25" thickBot="1" x14ac:dyDescent="0.25">
      <c r="A61" s="184" t="s">
        <v>285</v>
      </c>
      <c r="B61" s="185" t="s">
        <v>443</v>
      </c>
      <c r="C61" s="186" t="s">
        <v>438</v>
      </c>
      <c r="D61" s="186" t="s">
        <v>439</v>
      </c>
      <c r="E61" s="142">
        <v>15</v>
      </c>
      <c r="F61" s="142">
        <v>15</v>
      </c>
      <c r="G61" s="142">
        <v>15</v>
      </c>
      <c r="H61" s="187">
        <v>75</v>
      </c>
      <c r="I61" s="187">
        <v>75</v>
      </c>
      <c r="J61" s="197">
        <v>75</v>
      </c>
      <c r="L61" s="199"/>
      <c r="M61" s="200"/>
    </row>
    <row r="62" spans="1:16" ht="63.75" x14ac:dyDescent="0.2">
      <c r="A62" s="182" t="s">
        <v>444</v>
      </c>
      <c r="B62" s="169" t="s">
        <v>445</v>
      </c>
      <c r="C62" s="103" t="s">
        <v>108</v>
      </c>
      <c r="D62" s="103" t="s">
        <v>220</v>
      </c>
      <c r="E62" s="188">
        <v>61</v>
      </c>
      <c r="F62" s="188">
        <v>61</v>
      </c>
      <c r="G62" s="188">
        <v>61</v>
      </c>
      <c r="H62" s="116">
        <v>3117.1</v>
      </c>
      <c r="I62" s="116">
        <v>3117.1</v>
      </c>
      <c r="J62" s="117">
        <v>3117.1</v>
      </c>
      <c r="L62" s="199"/>
      <c r="M62" s="200"/>
      <c r="N62" s="203"/>
      <c r="P62" s="199"/>
    </row>
    <row r="63" spans="1:16" ht="63.75" x14ac:dyDescent="0.2">
      <c r="A63" s="182" t="s">
        <v>446</v>
      </c>
      <c r="B63" s="169" t="s">
        <v>447</v>
      </c>
      <c r="C63" s="103" t="s">
        <v>108</v>
      </c>
      <c r="D63" s="103" t="s">
        <v>220</v>
      </c>
      <c r="E63" s="188">
        <v>87</v>
      </c>
      <c r="F63" s="188">
        <v>87</v>
      </c>
      <c r="G63" s="188">
        <v>87</v>
      </c>
      <c r="H63" s="116">
        <v>4358.8</v>
      </c>
      <c r="I63" s="116">
        <v>4358.8</v>
      </c>
      <c r="J63" s="117">
        <v>4358.8</v>
      </c>
      <c r="L63" s="199"/>
      <c r="M63" s="200"/>
      <c r="P63" s="199"/>
    </row>
    <row r="64" spans="1:16" ht="63.75" x14ac:dyDescent="0.2">
      <c r="A64" s="182" t="s">
        <v>444</v>
      </c>
      <c r="B64" s="169" t="s">
        <v>448</v>
      </c>
      <c r="C64" s="103" t="s">
        <v>108</v>
      </c>
      <c r="D64" s="103" t="s">
        <v>220</v>
      </c>
      <c r="E64" s="188">
        <v>595</v>
      </c>
      <c r="F64" s="188">
        <v>595</v>
      </c>
      <c r="G64" s="188">
        <v>595</v>
      </c>
      <c r="H64" s="116">
        <v>29810.7</v>
      </c>
      <c r="I64" s="116">
        <v>29810.7</v>
      </c>
      <c r="J64" s="117">
        <v>29810.7</v>
      </c>
      <c r="L64" s="199"/>
      <c r="M64" s="200"/>
      <c r="P64" s="199"/>
    </row>
    <row r="65" spans="1:16" ht="63.75" x14ac:dyDescent="0.2">
      <c r="A65" s="182" t="s">
        <v>444</v>
      </c>
      <c r="B65" s="169" t="s">
        <v>449</v>
      </c>
      <c r="C65" s="103" t="s">
        <v>108</v>
      </c>
      <c r="D65" s="103" t="s">
        <v>220</v>
      </c>
      <c r="E65" s="188">
        <v>335</v>
      </c>
      <c r="F65" s="188">
        <v>335</v>
      </c>
      <c r="G65" s="188">
        <v>335</v>
      </c>
      <c r="H65" s="116">
        <v>17755</v>
      </c>
      <c r="I65" s="116">
        <v>17755</v>
      </c>
      <c r="J65" s="117">
        <v>17755</v>
      </c>
      <c r="L65" s="199"/>
      <c r="M65" s="200"/>
      <c r="P65" s="199"/>
    </row>
    <row r="66" spans="1:16" ht="76.5" x14ac:dyDescent="0.2">
      <c r="A66" s="182" t="s">
        <v>444</v>
      </c>
      <c r="B66" s="169" t="s">
        <v>450</v>
      </c>
      <c r="C66" s="103" t="s">
        <v>108</v>
      </c>
      <c r="D66" s="103" t="s">
        <v>220</v>
      </c>
      <c r="E66" s="188">
        <v>108</v>
      </c>
      <c r="F66" s="188">
        <v>108</v>
      </c>
      <c r="G66" s="188">
        <v>108</v>
      </c>
      <c r="H66" s="116">
        <v>5410</v>
      </c>
      <c r="I66" s="116">
        <v>5410</v>
      </c>
      <c r="J66" s="117">
        <v>5410</v>
      </c>
      <c r="L66" s="199"/>
      <c r="M66" s="200"/>
      <c r="P66" s="199"/>
    </row>
    <row r="67" spans="1:16" ht="76.5" x14ac:dyDescent="0.2">
      <c r="A67" s="182" t="s">
        <v>444</v>
      </c>
      <c r="B67" s="169" t="s">
        <v>451</v>
      </c>
      <c r="C67" s="103" t="s">
        <v>108</v>
      </c>
      <c r="D67" s="103" t="s">
        <v>220</v>
      </c>
      <c r="E67" s="189">
        <v>8</v>
      </c>
      <c r="F67" s="189">
        <v>8</v>
      </c>
      <c r="G67" s="189">
        <v>8</v>
      </c>
      <c r="H67" s="155">
        <v>432</v>
      </c>
      <c r="I67" s="155">
        <v>432</v>
      </c>
      <c r="J67" s="156">
        <v>432</v>
      </c>
      <c r="L67" s="199"/>
      <c r="M67" s="200"/>
      <c r="P67" s="199"/>
    </row>
    <row r="68" spans="1:16" ht="76.5" x14ac:dyDescent="0.2">
      <c r="A68" s="182" t="s">
        <v>444</v>
      </c>
      <c r="B68" s="169" t="s">
        <v>452</v>
      </c>
      <c r="C68" s="103" t="s">
        <v>108</v>
      </c>
      <c r="D68" s="103" t="s">
        <v>220</v>
      </c>
      <c r="E68" s="189">
        <v>66</v>
      </c>
      <c r="F68" s="189">
        <v>66</v>
      </c>
      <c r="G68" s="189">
        <v>66</v>
      </c>
      <c r="H68" s="155">
        <v>3307</v>
      </c>
      <c r="I68" s="155">
        <v>3307</v>
      </c>
      <c r="J68" s="156">
        <v>3307</v>
      </c>
      <c r="L68" s="199"/>
      <c r="M68" s="200"/>
      <c r="P68" s="199"/>
    </row>
    <row r="69" spans="1:16" ht="63.75" x14ac:dyDescent="0.2">
      <c r="A69" s="182" t="s">
        <v>453</v>
      </c>
      <c r="B69" s="169" t="s">
        <v>454</v>
      </c>
      <c r="C69" s="103" t="s">
        <v>108</v>
      </c>
      <c r="D69" s="103" t="s">
        <v>220</v>
      </c>
      <c r="E69" s="138">
        <v>131</v>
      </c>
      <c r="F69" s="138">
        <v>131</v>
      </c>
      <c r="G69" s="138">
        <v>131</v>
      </c>
      <c r="H69" s="146">
        <v>6812</v>
      </c>
      <c r="I69" s="146">
        <v>6812</v>
      </c>
      <c r="J69" s="147">
        <v>6812</v>
      </c>
      <c r="L69" s="199"/>
      <c r="M69" s="200"/>
      <c r="P69" s="199"/>
    </row>
    <row r="70" spans="1:16" ht="63.75" x14ac:dyDescent="0.2">
      <c r="A70" s="182" t="s">
        <v>455</v>
      </c>
      <c r="B70" s="190" t="s">
        <v>456</v>
      </c>
      <c r="C70" s="103" t="s">
        <v>108</v>
      </c>
      <c r="D70" s="103" t="s">
        <v>220</v>
      </c>
      <c r="E70" s="138">
        <v>62</v>
      </c>
      <c r="F70" s="138">
        <v>62</v>
      </c>
      <c r="G70" s="138">
        <v>62</v>
      </c>
      <c r="H70" s="146">
        <v>3106</v>
      </c>
      <c r="I70" s="146">
        <v>3106</v>
      </c>
      <c r="J70" s="147">
        <v>3106</v>
      </c>
      <c r="L70" s="199"/>
      <c r="M70" s="200"/>
      <c r="P70" s="199"/>
    </row>
    <row r="71" spans="1:16" ht="76.5" x14ac:dyDescent="0.2">
      <c r="A71" s="182" t="s">
        <v>457</v>
      </c>
      <c r="B71" s="169" t="s">
        <v>458</v>
      </c>
      <c r="C71" s="103" t="s">
        <v>108</v>
      </c>
      <c r="D71" s="103" t="s">
        <v>220</v>
      </c>
      <c r="E71" s="138">
        <v>249</v>
      </c>
      <c r="F71" s="138">
        <v>249</v>
      </c>
      <c r="G71" s="138">
        <v>249</v>
      </c>
      <c r="H71" s="146">
        <v>12948</v>
      </c>
      <c r="I71" s="146">
        <v>12948</v>
      </c>
      <c r="J71" s="147">
        <v>12948</v>
      </c>
      <c r="L71" s="199"/>
      <c r="M71" s="200"/>
      <c r="P71" s="199"/>
    </row>
    <row r="72" spans="1:16" ht="76.5" x14ac:dyDescent="0.2">
      <c r="A72" s="182" t="s">
        <v>459</v>
      </c>
      <c r="B72" s="169" t="s">
        <v>460</v>
      </c>
      <c r="C72" s="103" t="s">
        <v>108</v>
      </c>
      <c r="D72" s="103" t="s">
        <v>220</v>
      </c>
      <c r="E72" s="138">
        <v>413</v>
      </c>
      <c r="F72" s="138">
        <v>413</v>
      </c>
      <c r="G72" s="138">
        <v>413</v>
      </c>
      <c r="H72" s="146">
        <v>21063</v>
      </c>
      <c r="I72" s="146">
        <v>21063</v>
      </c>
      <c r="J72" s="147">
        <v>21063</v>
      </c>
      <c r="L72" s="199"/>
      <c r="M72" s="200"/>
      <c r="P72" s="199"/>
    </row>
    <row r="73" spans="1:16" ht="63.75" x14ac:dyDescent="0.2">
      <c r="A73" s="182" t="s">
        <v>459</v>
      </c>
      <c r="B73" s="169" t="s">
        <v>461</v>
      </c>
      <c r="C73" s="103" t="s">
        <v>108</v>
      </c>
      <c r="D73" s="103" t="s">
        <v>220</v>
      </c>
      <c r="E73" s="138">
        <v>8</v>
      </c>
      <c r="F73" s="138">
        <v>8</v>
      </c>
      <c r="G73" s="138">
        <v>8</v>
      </c>
      <c r="H73" s="146">
        <v>400</v>
      </c>
      <c r="I73" s="146">
        <v>400</v>
      </c>
      <c r="J73" s="147">
        <v>400</v>
      </c>
      <c r="L73" s="199"/>
      <c r="M73" s="200"/>
      <c r="P73" s="199"/>
    </row>
    <row r="74" spans="1:16" ht="63.75" x14ac:dyDescent="0.2">
      <c r="A74" s="182" t="s">
        <v>459</v>
      </c>
      <c r="B74" s="169" t="s">
        <v>462</v>
      </c>
      <c r="C74" s="103" t="s">
        <v>108</v>
      </c>
      <c r="D74" s="103" t="s">
        <v>220</v>
      </c>
      <c r="E74" s="138">
        <v>25</v>
      </c>
      <c r="F74" s="138">
        <v>25</v>
      </c>
      <c r="G74" s="138">
        <v>25</v>
      </c>
      <c r="H74" s="146">
        <v>1252</v>
      </c>
      <c r="I74" s="146">
        <v>1252</v>
      </c>
      <c r="J74" s="147">
        <v>1252</v>
      </c>
      <c r="L74" s="199"/>
      <c r="M74" s="200"/>
      <c r="P74" s="199"/>
    </row>
    <row r="75" spans="1:16" ht="63.75" x14ac:dyDescent="0.2">
      <c r="A75" s="182" t="s">
        <v>459</v>
      </c>
      <c r="B75" s="169" t="s">
        <v>463</v>
      </c>
      <c r="C75" s="103" t="s">
        <v>108</v>
      </c>
      <c r="D75" s="103" t="s">
        <v>220</v>
      </c>
      <c r="E75" s="138">
        <v>45</v>
      </c>
      <c r="F75" s="138">
        <v>45</v>
      </c>
      <c r="G75" s="138">
        <v>45</v>
      </c>
      <c r="H75" s="146">
        <v>2295</v>
      </c>
      <c r="I75" s="146">
        <v>2295</v>
      </c>
      <c r="J75" s="147">
        <v>2295</v>
      </c>
      <c r="L75" s="199"/>
      <c r="M75" s="200"/>
      <c r="P75" s="199"/>
    </row>
    <row r="76" spans="1:16" ht="63.75" x14ac:dyDescent="0.2">
      <c r="A76" s="182" t="s">
        <v>464</v>
      </c>
      <c r="B76" s="169" t="s">
        <v>465</v>
      </c>
      <c r="C76" s="103" t="s">
        <v>108</v>
      </c>
      <c r="D76" s="103" t="s">
        <v>220</v>
      </c>
      <c r="E76" s="138">
        <v>8</v>
      </c>
      <c r="F76" s="138">
        <v>8</v>
      </c>
      <c r="G76" s="138">
        <v>8</v>
      </c>
      <c r="H76" s="146">
        <v>408</v>
      </c>
      <c r="I76" s="146">
        <v>408</v>
      </c>
      <c r="J76" s="147">
        <v>408</v>
      </c>
      <c r="L76" s="199"/>
      <c r="M76" s="200"/>
      <c r="P76" s="199"/>
    </row>
    <row r="77" spans="1:16" ht="63.75" x14ac:dyDescent="0.2">
      <c r="A77" s="182" t="s">
        <v>464</v>
      </c>
      <c r="B77" s="169" t="s">
        <v>466</v>
      </c>
      <c r="C77" s="103" t="s">
        <v>108</v>
      </c>
      <c r="D77" s="103" t="s">
        <v>220</v>
      </c>
      <c r="E77" s="138">
        <v>25</v>
      </c>
      <c r="F77" s="138">
        <v>25</v>
      </c>
      <c r="G77" s="138">
        <v>25</v>
      </c>
      <c r="H77" s="146">
        <v>1252</v>
      </c>
      <c r="I77" s="146">
        <v>1252</v>
      </c>
      <c r="J77" s="147">
        <v>1252</v>
      </c>
      <c r="L77" s="199"/>
      <c r="M77" s="200"/>
      <c r="P77" s="199"/>
    </row>
    <row r="78" spans="1:16" ht="63.75" x14ac:dyDescent="0.2">
      <c r="A78" s="182" t="s">
        <v>467</v>
      </c>
      <c r="B78" s="169" t="s">
        <v>468</v>
      </c>
      <c r="C78" s="103" t="s">
        <v>108</v>
      </c>
      <c r="D78" s="103" t="s">
        <v>220</v>
      </c>
      <c r="E78" s="138">
        <v>15</v>
      </c>
      <c r="F78" s="138">
        <v>15</v>
      </c>
      <c r="G78" s="138">
        <v>15</v>
      </c>
      <c r="H78" s="146">
        <v>780</v>
      </c>
      <c r="I78" s="146">
        <v>780</v>
      </c>
      <c r="J78" s="147">
        <v>780</v>
      </c>
      <c r="L78" s="199"/>
      <c r="M78" s="200"/>
      <c r="P78" s="199"/>
    </row>
    <row r="79" spans="1:16" ht="63.75" x14ac:dyDescent="0.2">
      <c r="A79" s="182" t="s">
        <v>467</v>
      </c>
      <c r="B79" s="169" t="s">
        <v>469</v>
      </c>
      <c r="C79" s="103" t="s">
        <v>108</v>
      </c>
      <c r="D79" s="103" t="s">
        <v>220</v>
      </c>
      <c r="E79" s="138">
        <v>849</v>
      </c>
      <c r="F79" s="138">
        <v>849</v>
      </c>
      <c r="G79" s="138">
        <v>849</v>
      </c>
      <c r="H79" s="146">
        <v>42534</v>
      </c>
      <c r="I79" s="146">
        <v>42534</v>
      </c>
      <c r="J79" s="147">
        <v>42534</v>
      </c>
      <c r="L79" s="199"/>
      <c r="M79" s="200"/>
      <c r="P79" s="199"/>
    </row>
    <row r="80" spans="1:16" ht="63.75" x14ac:dyDescent="0.2">
      <c r="A80" s="182" t="s">
        <v>470</v>
      </c>
      <c r="B80" s="169" t="s">
        <v>471</v>
      </c>
      <c r="C80" s="103" t="s">
        <v>108</v>
      </c>
      <c r="D80" s="103" t="s">
        <v>220</v>
      </c>
      <c r="E80" s="138">
        <v>554</v>
      </c>
      <c r="F80" s="138">
        <v>554</v>
      </c>
      <c r="G80" s="138">
        <v>554</v>
      </c>
      <c r="H80" s="146">
        <v>29362</v>
      </c>
      <c r="I80" s="146">
        <v>29362</v>
      </c>
      <c r="J80" s="147">
        <v>29362</v>
      </c>
      <c r="L80" s="199"/>
      <c r="M80" s="200"/>
      <c r="P80" s="199"/>
    </row>
    <row r="81" spans="1:16" ht="63.75" x14ac:dyDescent="0.2">
      <c r="A81" s="182" t="s">
        <v>470</v>
      </c>
      <c r="B81" s="169" t="s">
        <v>472</v>
      </c>
      <c r="C81" s="103" t="s">
        <v>108</v>
      </c>
      <c r="D81" s="103" t="s">
        <v>220</v>
      </c>
      <c r="E81" s="138">
        <v>110</v>
      </c>
      <c r="F81" s="138">
        <v>110</v>
      </c>
      <c r="G81" s="138">
        <v>110</v>
      </c>
      <c r="H81" s="146">
        <v>5511</v>
      </c>
      <c r="I81" s="146">
        <v>5511</v>
      </c>
      <c r="J81" s="147">
        <v>5511</v>
      </c>
      <c r="L81" s="199"/>
      <c r="M81" s="200"/>
      <c r="P81" s="199"/>
    </row>
    <row r="82" spans="1:16" ht="63.75" x14ac:dyDescent="0.2">
      <c r="A82" s="182" t="s">
        <v>470</v>
      </c>
      <c r="B82" s="169" t="s">
        <v>473</v>
      </c>
      <c r="C82" s="103" t="s">
        <v>108</v>
      </c>
      <c r="D82" s="103" t="s">
        <v>220</v>
      </c>
      <c r="E82" s="138">
        <v>74</v>
      </c>
      <c r="F82" s="138">
        <v>74</v>
      </c>
      <c r="G82" s="138">
        <v>74</v>
      </c>
      <c r="H82" s="146">
        <v>3996</v>
      </c>
      <c r="I82" s="146">
        <v>3996</v>
      </c>
      <c r="J82" s="147">
        <v>3996</v>
      </c>
      <c r="L82" s="199"/>
      <c r="M82" s="200"/>
      <c r="P82" s="199"/>
    </row>
    <row r="83" spans="1:16" ht="63.75" x14ac:dyDescent="0.2">
      <c r="A83" s="182" t="s">
        <v>474</v>
      </c>
      <c r="B83" s="169" t="s">
        <v>475</v>
      </c>
      <c r="C83" s="103" t="s">
        <v>108</v>
      </c>
      <c r="D83" s="103" t="s">
        <v>220</v>
      </c>
      <c r="E83" s="138">
        <v>229</v>
      </c>
      <c r="F83" s="138">
        <v>229</v>
      </c>
      <c r="G83" s="138">
        <v>229</v>
      </c>
      <c r="H83" s="146">
        <v>11450</v>
      </c>
      <c r="I83" s="146">
        <v>11450</v>
      </c>
      <c r="J83" s="147">
        <v>11450</v>
      </c>
      <c r="L83" s="199"/>
      <c r="M83" s="200"/>
      <c r="P83" s="199"/>
    </row>
    <row r="84" spans="1:16" ht="63.75" x14ac:dyDescent="0.2">
      <c r="A84" s="182" t="s">
        <v>474</v>
      </c>
      <c r="B84" s="169" t="s">
        <v>476</v>
      </c>
      <c r="C84" s="103" t="s">
        <v>108</v>
      </c>
      <c r="D84" s="103" t="s">
        <v>220</v>
      </c>
      <c r="E84" s="138">
        <v>49</v>
      </c>
      <c r="F84" s="138">
        <v>49</v>
      </c>
      <c r="G84" s="138">
        <v>49</v>
      </c>
      <c r="H84" s="146">
        <v>2450</v>
      </c>
      <c r="I84" s="146">
        <v>2450</v>
      </c>
      <c r="J84" s="147">
        <v>2450</v>
      </c>
      <c r="L84" s="199"/>
      <c r="M84" s="200"/>
      <c r="P84" s="199"/>
    </row>
    <row r="85" spans="1:16" ht="63.75" x14ac:dyDescent="0.2">
      <c r="A85" s="182" t="s">
        <v>474</v>
      </c>
      <c r="B85" s="191" t="s">
        <v>477</v>
      </c>
      <c r="C85" s="103" t="s">
        <v>108</v>
      </c>
      <c r="D85" s="103" t="s">
        <v>220</v>
      </c>
      <c r="E85" s="138">
        <v>67</v>
      </c>
      <c r="F85" s="138">
        <v>67</v>
      </c>
      <c r="G85" s="138">
        <v>67</v>
      </c>
      <c r="H85" s="146">
        <v>3350</v>
      </c>
      <c r="I85" s="146">
        <v>3350</v>
      </c>
      <c r="J85" s="147">
        <v>3350</v>
      </c>
      <c r="L85" s="199"/>
      <c r="M85" s="200"/>
      <c r="P85" s="199"/>
    </row>
    <row r="86" spans="1:16" ht="76.5" x14ac:dyDescent="0.2">
      <c r="A86" s="182" t="s">
        <v>478</v>
      </c>
      <c r="B86" s="149" t="s">
        <v>479</v>
      </c>
      <c r="C86" s="103" t="s">
        <v>108</v>
      </c>
      <c r="D86" s="103" t="s">
        <v>220</v>
      </c>
      <c r="E86" s="138">
        <v>161</v>
      </c>
      <c r="F86" s="138">
        <v>161</v>
      </c>
      <c r="G86" s="138">
        <v>161</v>
      </c>
      <c r="H86" s="146">
        <v>8372</v>
      </c>
      <c r="I86" s="146">
        <v>8372</v>
      </c>
      <c r="J86" s="147">
        <v>8372</v>
      </c>
      <c r="L86" s="199"/>
      <c r="M86" s="200"/>
      <c r="P86" s="199"/>
    </row>
    <row r="87" spans="1:16" ht="76.5" x14ac:dyDescent="0.2">
      <c r="A87" s="182" t="s">
        <v>478</v>
      </c>
      <c r="B87" s="149" t="s">
        <v>480</v>
      </c>
      <c r="C87" s="103" t="s">
        <v>108</v>
      </c>
      <c r="D87" s="103" t="s">
        <v>220</v>
      </c>
      <c r="E87" s="138">
        <v>189</v>
      </c>
      <c r="F87" s="138">
        <v>189</v>
      </c>
      <c r="G87" s="138">
        <v>189</v>
      </c>
      <c r="H87" s="146">
        <v>9261</v>
      </c>
      <c r="I87" s="146">
        <v>9261</v>
      </c>
      <c r="J87" s="147">
        <v>9261</v>
      </c>
      <c r="L87" s="199"/>
      <c r="M87" s="200"/>
      <c r="P87" s="199"/>
    </row>
    <row r="88" spans="1:16" ht="89.25" x14ac:dyDescent="0.2">
      <c r="A88" s="182" t="s">
        <v>478</v>
      </c>
      <c r="B88" s="191" t="s">
        <v>481</v>
      </c>
      <c r="C88" s="103" t="s">
        <v>108</v>
      </c>
      <c r="D88" s="103" t="s">
        <v>220</v>
      </c>
      <c r="E88" s="138">
        <v>25</v>
      </c>
      <c r="F88" s="138">
        <v>25</v>
      </c>
      <c r="G88" s="138">
        <v>25</v>
      </c>
      <c r="H88" s="146">
        <v>1280</v>
      </c>
      <c r="I88" s="146">
        <v>1280</v>
      </c>
      <c r="J88" s="147">
        <v>1280</v>
      </c>
      <c r="L88" s="199"/>
      <c r="M88" s="200"/>
      <c r="P88" s="199"/>
    </row>
    <row r="89" spans="1:16" ht="63.75" x14ac:dyDescent="0.2">
      <c r="A89" s="182" t="s">
        <v>482</v>
      </c>
      <c r="B89" s="169" t="s">
        <v>483</v>
      </c>
      <c r="C89" s="103" t="s">
        <v>108</v>
      </c>
      <c r="D89" s="103" t="s">
        <v>220</v>
      </c>
      <c r="E89" s="138">
        <v>131</v>
      </c>
      <c r="F89" s="138">
        <v>131</v>
      </c>
      <c r="G89" s="138">
        <v>131</v>
      </c>
      <c r="H89" s="146">
        <v>6838.2</v>
      </c>
      <c r="I89" s="146">
        <v>6838.2</v>
      </c>
      <c r="J89" s="147">
        <v>6838.2</v>
      </c>
      <c r="L89" s="199"/>
      <c r="M89" s="200"/>
      <c r="P89" s="199"/>
    </row>
    <row r="90" spans="1:16" ht="63.75" x14ac:dyDescent="0.2">
      <c r="A90" s="182" t="s">
        <v>484</v>
      </c>
      <c r="B90" s="149" t="s">
        <v>485</v>
      </c>
      <c r="C90" s="103" t="s">
        <v>108</v>
      </c>
      <c r="D90" s="103" t="s">
        <v>220</v>
      </c>
      <c r="E90" s="138">
        <v>152</v>
      </c>
      <c r="F90" s="138">
        <v>152</v>
      </c>
      <c r="G90" s="138">
        <v>152</v>
      </c>
      <c r="H90" s="146">
        <v>7615.2</v>
      </c>
      <c r="I90" s="146">
        <v>7615.2</v>
      </c>
      <c r="J90" s="147">
        <v>7615.2</v>
      </c>
      <c r="L90" s="199"/>
      <c r="M90" s="200"/>
      <c r="P90" s="199"/>
    </row>
    <row r="91" spans="1:16" ht="63.75" x14ac:dyDescent="0.2">
      <c r="A91" s="182" t="s">
        <v>486</v>
      </c>
      <c r="B91" s="169" t="s">
        <v>487</v>
      </c>
      <c r="C91" s="103" t="s">
        <v>108</v>
      </c>
      <c r="D91" s="103" t="s">
        <v>220</v>
      </c>
      <c r="E91" s="138">
        <v>8</v>
      </c>
      <c r="F91" s="138">
        <v>8</v>
      </c>
      <c r="G91" s="138">
        <v>8</v>
      </c>
      <c r="H91" s="146">
        <v>400.8</v>
      </c>
      <c r="I91" s="146">
        <v>400.8</v>
      </c>
      <c r="J91" s="147">
        <v>400.8</v>
      </c>
      <c r="L91" s="199"/>
      <c r="M91" s="200"/>
      <c r="P91" s="199"/>
    </row>
    <row r="92" spans="1:16" ht="63.75" x14ac:dyDescent="0.2">
      <c r="A92" s="182" t="s">
        <v>446</v>
      </c>
      <c r="B92" s="169" t="s">
        <v>488</v>
      </c>
      <c r="C92" s="103" t="s">
        <v>108</v>
      </c>
      <c r="D92" s="103" t="s">
        <v>220</v>
      </c>
      <c r="E92" s="138">
        <v>21</v>
      </c>
      <c r="F92" s="138">
        <v>21</v>
      </c>
      <c r="G92" s="138">
        <v>21</v>
      </c>
      <c r="H92" s="146">
        <v>1052.0999999999999</v>
      </c>
      <c r="I92" s="146">
        <v>1052.0999999999999</v>
      </c>
      <c r="J92" s="147">
        <v>1052.0999999999999</v>
      </c>
      <c r="L92" s="199"/>
      <c r="M92" s="200"/>
      <c r="P92" s="199"/>
    </row>
    <row r="93" spans="1:16" ht="63.75" x14ac:dyDescent="0.2">
      <c r="A93" s="182" t="s">
        <v>489</v>
      </c>
      <c r="B93" s="190" t="s">
        <v>490</v>
      </c>
      <c r="C93" s="103" t="s">
        <v>108</v>
      </c>
      <c r="D93" s="103" t="s">
        <v>220</v>
      </c>
      <c r="E93" s="138">
        <v>34</v>
      </c>
      <c r="F93" s="138">
        <v>34</v>
      </c>
      <c r="G93" s="138">
        <v>34</v>
      </c>
      <c r="H93" s="146">
        <v>1704.11</v>
      </c>
      <c r="I93" s="146">
        <v>1704.11</v>
      </c>
      <c r="J93" s="147">
        <v>1704.11</v>
      </c>
      <c r="L93" s="199"/>
      <c r="M93" s="200"/>
      <c r="P93" s="199"/>
    </row>
    <row r="94" spans="1:16" ht="76.5" x14ac:dyDescent="0.2">
      <c r="A94" s="182" t="s">
        <v>491</v>
      </c>
      <c r="B94" s="169" t="s">
        <v>492</v>
      </c>
      <c r="C94" s="103" t="s">
        <v>108</v>
      </c>
      <c r="D94" s="103" t="s">
        <v>220</v>
      </c>
      <c r="E94" s="138">
        <v>51</v>
      </c>
      <c r="F94" s="138">
        <v>51</v>
      </c>
      <c r="G94" s="138">
        <v>51</v>
      </c>
      <c r="H94" s="146">
        <v>2555</v>
      </c>
      <c r="I94" s="146">
        <v>2555</v>
      </c>
      <c r="J94" s="147">
        <v>2555</v>
      </c>
      <c r="L94" s="199"/>
      <c r="M94" s="200"/>
      <c r="P94" s="199"/>
    </row>
    <row r="95" spans="1:16" ht="63.75" x14ac:dyDescent="0.2">
      <c r="A95" s="182" t="s">
        <v>493</v>
      </c>
      <c r="B95" s="169" t="s">
        <v>494</v>
      </c>
      <c r="C95" s="103" t="s">
        <v>108</v>
      </c>
      <c r="D95" s="103" t="s">
        <v>220</v>
      </c>
      <c r="E95" s="138">
        <v>109</v>
      </c>
      <c r="F95" s="138">
        <v>109</v>
      </c>
      <c r="G95" s="138">
        <v>109</v>
      </c>
      <c r="H95" s="146">
        <v>5473.9</v>
      </c>
      <c r="I95" s="146">
        <v>5473.9</v>
      </c>
      <c r="J95" s="147">
        <v>5473.9</v>
      </c>
      <c r="L95" s="199"/>
      <c r="M95" s="200"/>
      <c r="P95" s="199"/>
    </row>
    <row r="96" spans="1:16" ht="63.75" x14ac:dyDescent="0.2">
      <c r="A96" s="182" t="s">
        <v>493</v>
      </c>
      <c r="B96" s="169" t="s">
        <v>495</v>
      </c>
      <c r="C96" s="103" t="s">
        <v>108</v>
      </c>
      <c r="D96" s="103" t="s">
        <v>220</v>
      </c>
      <c r="E96" s="138">
        <v>52</v>
      </c>
      <c r="F96" s="138">
        <v>52</v>
      </c>
      <c r="G96" s="138">
        <v>52</v>
      </c>
      <c r="H96" s="146">
        <v>2860</v>
      </c>
      <c r="I96" s="146">
        <v>2860</v>
      </c>
      <c r="J96" s="147">
        <v>2860</v>
      </c>
      <c r="L96" s="199"/>
      <c r="M96" s="200"/>
      <c r="P96" s="199"/>
    </row>
    <row r="97" spans="1:16" ht="63.75" x14ac:dyDescent="0.2">
      <c r="A97" s="182" t="s">
        <v>496</v>
      </c>
      <c r="B97" s="169" t="s">
        <v>497</v>
      </c>
      <c r="C97" s="103" t="s">
        <v>108</v>
      </c>
      <c r="D97" s="103" t="s">
        <v>220</v>
      </c>
      <c r="E97" s="138">
        <v>41</v>
      </c>
      <c r="F97" s="138">
        <v>41</v>
      </c>
      <c r="G97" s="138">
        <v>41</v>
      </c>
      <c r="H97" s="146">
        <v>2055</v>
      </c>
      <c r="I97" s="146">
        <v>2055</v>
      </c>
      <c r="J97" s="147">
        <v>2055</v>
      </c>
      <c r="L97" s="199"/>
      <c r="M97" s="200"/>
      <c r="P97" s="199"/>
    </row>
    <row r="98" spans="1:16" ht="63.75" x14ac:dyDescent="0.2">
      <c r="A98" s="182" t="s">
        <v>496</v>
      </c>
      <c r="B98" s="169" t="s">
        <v>498</v>
      </c>
      <c r="C98" s="103" t="s">
        <v>108</v>
      </c>
      <c r="D98" s="103" t="s">
        <v>220</v>
      </c>
      <c r="E98" s="138">
        <v>25</v>
      </c>
      <c r="F98" s="138">
        <v>25</v>
      </c>
      <c r="G98" s="138">
        <v>25</v>
      </c>
      <c r="H98" s="146">
        <v>1250</v>
      </c>
      <c r="I98" s="146">
        <v>1250</v>
      </c>
      <c r="J98" s="147">
        <v>1250</v>
      </c>
      <c r="L98" s="199"/>
      <c r="M98" s="200"/>
      <c r="P98" s="199"/>
    </row>
    <row r="99" spans="1:16" ht="63.75" x14ac:dyDescent="0.2">
      <c r="A99" s="182" t="s">
        <v>499</v>
      </c>
      <c r="B99" s="169" t="s">
        <v>500</v>
      </c>
      <c r="C99" s="103" t="s">
        <v>108</v>
      </c>
      <c r="D99" s="103" t="s">
        <v>220</v>
      </c>
      <c r="E99" s="138">
        <v>122</v>
      </c>
      <c r="F99" s="138">
        <v>122</v>
      </c>
      <c r="G99" s="138">
        <v>122</v>
      </c>
      <c r="H99" s="146">
        <v>6112</v>
      </c>
      <c r="I99" s="146">
        <v>6112</v>
      </c>
      <c r="J99" s="147">
        <v>6112</v>
      </c>
      <c r="L99" s="199"/>
      <c r="M99" s="200"/>
      <c r="P99" s="199"/>
    </row>
    <row r="100" spans="1:16" ht="63.75" x14ac:dyDescent="0.2">
      <c r="A100" s="182" t="s">
        <v>501</v>
      </c>
      <c r="B100" s="169" t="s">
        <v>502</v>
      </c>
      <c r="C100" s="103" t="s">
        <v>108</v>
      </c>
      <c r="D100" s="103" t="s">
        <v>220</v>
      </c>
      <c r="E100" s="138">
        <v>118</v>
      </c>
      <c r="F100" s="138">
        <v>118</v>
      </c>
      <c r="G100" s="138">
        <v>118</v>
      </c>
      <c r="H100" s="146">
        <v>5911</v>
      </c>
      <c r="I100" s="146">
        <v>5911</v>
      </c>
      <c r="J100" s="147">
        <v>5911</v>
      </c>
      <c r="L100" s="199"/>
      <c r="M100" s="200"/>
      <c r="P100" s="199"/>
    </row>
    <row r="101" spans="1:16" ht="63.75" x14ac:dyDescent="0.2">
      <c r="A101" s="182" t="s">
        <v>501</v>
      </c>
      <c r="B101" s="169" t="s">
        <v>503</v>
      </c>
      <c r="C101" s="103" t="s">
        <v>108</v>
      </c>
      <c r="D101" s="103" t="s">
        <v>220</v>
      </c>
      <c r="E101" s="138">
        <v>22</v>
      </c>
      <c r="F101" s="138">
        <v>22</v>
      </c>
      <c r="G101" s="138">
        <v>22</v>
      </c>
      <c r="H101" s="146">
        <v>1122</v>
      </c>
      <c r="I101" s="146">
        <v>1122</v>
      </c>
      <c r="J101" s="147">
        <v>1122</v>
      </c>
      <c r="L101" s="199"/>
      <c r="M101" s="200"/>
      <c r="P101" s="199"/>
    </row>
    <row r="102" spans="1:16" ht="51" x14ac:dyDescent="0.2">
      <c r="A102" s="182" t="s">
        <v>504</v>
      </c>
      <c r="B102" s="169" t="s">
        <v>505</v>
      </c>
      <c r="C102" s="103" t="s">
        <v>108</v>
      </c>
      <c r="D102" s="103" t="s">
        <v>220</v>
      </c>
      <c r="E102" s="138">
        <v>21</v>
      </c>
      <c r="F102" s="138">
        <v>21</v>
      </c>
      <c r="G102" s="138">
        <v>21</v>
      </c>
      <c r="H102" s="146">
        <v>1052</v>
      </c>
      <c r="I102" s="146">
        <v>1052</v>
      </c>
      <c r="J102" s="147">
        <v>1052</v>
      </c>
      <c r="L102" s="199"/>
      <c r="M102" s="200"/>
      <c r="P102" s="199"/>
    </row>
    <row r="103" spans="1:16" ht="76.5" x14ac:dyDescent="0.2">
      <c r="A103" s="182" t="s">
        <v>506</v>
      </c>
      <c r="B103" s="149" t="s">
        <v>507</v>
      </c>
      <c r="C103" s="103" t="s">
        <v>108</v>
      </c>
      <c r="D103" s="103" t="s">
        <v>220</v>
      </c>
      <c r="E103" s="138">
        <v>21</v>
      </c>
      <c r="F103" s="138">
        <v>21</v>
      </c>
      <c r="G103" s="138">
        <v>21</v>
      </c>
      <c r="H103" s="146">
        <v>1052</v>
      </c>
      <c r="I103" s="146">
        <v>1052</v>
      </c>
      <c r="J103" s="147">
        <v>1052</v>
      </c>
      <c r="L103" s="199"/>
      <c r="M103" s="200"/>
      <c r="P103" s="199"/>
    </row>
    <row r="104" spans="1:16" ht="76.5" x14ac:dyDescent="0.2">
      <c r="A104" s="182" t="s">
        <v>506</v>
      </c>
      <c r="B104" s="149" t="s">
        <v>508</v>
      </c>
      <c r="C104" s="103" t="s">
        <v>108</v>
      </c>
      <c r="D104" s="103" t="s">
        <v>220</v>
      </c>
      <c r="E104" s="138">
        <v>20</v>
      </c>
      <c r="F104" s="138">
        <v>20</v>
      </c>
      <c r="G104" s="138">
        <v>20</v>
      </c>
      <c r="H104" s="146">
        <v>1002</v>
      </c>
      <c r="I104" s="146">
        <v>1002</v>
      </c>
      <c r="J104" s="147">
        <v>1002</v>
      </c>
      <c r="L104" s="199"/>
      <c r="M104" s="200"/>
      <c r="P104" s="199"/>
    </row>
    <row r="105" spans="1:16" ht="89.25" x14ac:dyDescent="0.2">
      <c r="A105" s="182" t="s">
        <v>506</v>
      </c>
      <c r="B105" s="191" t="s">
        <v>509</v>
      </c>
      <c r="C105" s="103" t="s">
        <v>108</v>
      </c>
      <c r="D105" s="103" t="s">
        <v>220</v>
      </c>
      <c r="E105" s="138">
        <v>8</v>
      </c>
      <c r="F105" s="138">
        <v>8</v>
      </c>
      <c r="G105" s="138">
        <v>8</v>
      </c>
      <c r="H105" s="146">
        <v>408</v>
      </c>
      <c r="I105" s="146">
        <v>408</v>
      </c>
      <c r="J105" s="147">
        <v>408</v>
      </c>
      <c r="L105" s="199"/>
      <c r="M105" s="200"/>
      <c r="P105" s="199"/>
    </row>
    <row r="106" spans="1:16" ht="51" x14ac:dyDescent="0.2">
      <c r="A106" s="182" t="s">
        <v>506</v>
      </c>
      <c r="B106" s="191" t="s">
        <v>510</v>
      </c>
      <c r="C106" s="103" t="s">
        <v>108</v>
      </c>
      <c r="D106" s="103" t="s">
        <v>220</v>
      </c>
      <c r="E106" s="138">
        <v>18</v>
      </c>
      <c r="F106" s="138">
        <v>18</v>
      </c>
      <c r="G106" s="138">
        <v>18</v>
      </c>
      <c r="H106" s="146">
        <v>936</v>
      </c>
      <c r="I106" s="146">
        <v>936</v>
      </c>
      <c r="J106" s="147">
        <v>936</v>
      </c>
      <c r="L106" s="199"/>
      <c r="M106" s="200"/>
      <c r="P106" s="199"/>
    </row>
    <row r="107" spans="1:16" ht="63.75" x14ac:dyDescent="0.2">
      <c r="A107" s="182" t="s">
        <v>511</v>
      </c>
      <c r="B107" s="149" t="s">
        <v>512</v>
      </c>
      <c r="C107" s="103" t="s">
        <v>108</v>
      </c>
      <c r="D107" s="103" t="s">
        <v>220</v>
      </c>
      <c r="E107" s="138">
        <v>53</v>
      </c>
      <c r="F107" s="138">
        <v>53</v>
      </c>
      <c r="G107" s="138">
        <v>53</v>
      </c>
      <c r="H107" s="146">
        <v>2756</v>
      </c>
      <c r="I107" s="146">
        <v>2756</v>
      </c>
      <c r="J107" s="147">
        <v>2756</v>
      </c>
      <c r="L107" s="199"/>
      <c r="M107" s="200"/>
      <c r="P107" s="199"/>
    </row>
    <row r="108" spans="1:16" ht="63.75" x14ac:dyDescent="0.2">
      <c r="A108" s="182" t="s">
        <v>513</v>
      </c>
      <c r="B108" s="149" t="s">
        <v>514</v>
      </c>
      <c r="C108" s="103" t="s">
        <v>108</v>
      </c>
      <c r="D108" s="103" t="s">
        <v>220</v>
      </c>
      <c r="E108" s="138">
        <v>27</v>
      </c>
      <c r="F108" s="138">
        <v>27</v>
      </c>
      <c r="G108" s="138">
        <v>27</v>
      </c>
      <c r="H108" s="146">
        <v>1458</v>
      </c>
      <c r="I108" s="146">
        <v>1458</v>
      </c>
      <c r="J108" s="147">
        <v>1458</v>
      </c>
      <c r="L108" s="199"/>
      <c r="M108" s="200"/>
      <c r="P108" s="199"/>
    </row>
    <row r="109" spans="1:16" ht="63.75" x14ac:dyDescent="0.2">
      <c r="A109" s="182" t="s">
        <v>515</v>
      </c>
      <c r="B109" s="149" t="s">
        <v>516</v>
      </c>
      <c r="C109" s="103" t="s">
        <v>108</v>
      </c>
      <c r="D109" s="103" t="s">
        <v>220</v>
      </c>
      <c r="E109" s="138">
        <v>415</v>
      </c>
      <c r="F109" s="138">
        <v>415</v>
      </c>
      <c r="G109" s="138">
        <v>415</v>
      </c>
      <c r="H109" s="146">
        <v>17015</v>
      </c>
      <c r="I109" s="146">
        <v>17015</v>
      </c>
      <c r="J109" s="147">
        <v>17015</v>
      </c>
      <c r="L109" s="199"/>
      <c r="M109" s="200"/>
      <c r="P109" s="199"/>
    </row>
    <row r="110" spans="1:16" ht="63.75" x14ac:dyDescent="0.2">
      <c r="A110" s="182" t="s">
        <v>515</v>
      </c>
      <c r="B110" s="149" t="s">
        <v>517</v>
      </c>
      <c r="C110" s="103" t="s">
        <v>108</v>
      </c>
      <c r="D110" s="103" t="s">
        <v>220</v>
      </c>
      <c r="E110" s="138">
        <v>64</v>
      </c>
      <c r="F110" s="138">
        <v>64</v>
      </c>
      <c r="G110" s="138">
        <v>64</v>
      </c>
      <c r="H110" s="146">
        <v>2816</v>
      </c>
      <c r="I110" s="146">
        <v>2816</v>
      </c>
      <c r="J110" s="147">
        <v>2816</v>
      </c>
      <c r="L110" s="199"/>
      <c r="M110" s="200"/>
      <c r="P110" s="199"/>
    </row>
    <row r="111" spans="1:16" ht="76.5" x14ac:dyDescent="0.2">
      <c r="A111" s="182" t="s">
        <v>515</v>
      </c>
      <c r="B111" s="149" t="s">
        <v>518</v>
      </c>
      <c r="C111" s="103" t="s">
        <v>108</v>
      </c>
      <c r="D111" s="103" t="s">
        <v>220</v>
      </c>
      <c r="E111" s="138">
        <v>102</v>
      </c>
      <c r="F111" s="138">
        <v>102</v>
      </c>
      <c r="G111" s="138">
        <v>102</v>
      </c>
      <c r="H111" s="146">
        <v>4284</v>
      </c>
      <c r="I111" s="146">
        <v>4284</v>
      </c>
      <c r="J111" s="147">
        <v>4284</v>
      </c>
      <c r="L111" s="199"/>
      <c r="M111" s="200"/>
      <c r="P111" s="199"/>
    </row>
    <row r="112" spans="1:16" ht="76.5" x14ac:dyDescent="0.2">
      <c r="A112" s="182" t="s">
        <v>515</v>
      </c>
      <c r="B112" s="149" t="s">
        <v>519</v>
      </c>
      <c r="C112" s="103" t="s">
        <v>108</v>
      </c>
      <c r="D112" s="103" t="s">
        <v>220</v>
      </c>
      <c r="E112" s="138">
        <v>91</v>
      </c>
      <c r="F112" s="138">
        <v>91</v>
      </c>
      <c r="G112" s="138">
        <v>91</v>
      </c>
      <c r="H112" s="146">
        <v>3640</v>
      </c>
      <c r="I112" s="146">
        <v>3640</v>
      </c>
      <c r="J112" s="147">
        <v>3640</v>
      </c>
      <c r="L112" s="199"/>
      <c r="M112" s="200"/>
      <c r="P112" s="199"/>
    </row>
    <row r="113" spans="1:16" ht="63.75" x14ac:dyDescent="0.2">
      <c r="A113" s="182" t="s">
        <v>520</v>
      </c>
      <c r="B113" s="149" t="s">
        <v>521</v>
      </c>
      <c r="C113" s="103" t="s">
        <v>108</v>
      </c>
      <c r="D113" s="103" t="s">
        <v>220</v>
      </c>
      <c r="E113" s="138">
        <v>230</v>
      </c>
      <c r="F113" s="138">
        <v>230</v>
      </c>
      <c r="G113" s="138">
        <v>230</v>
      </c>
      <c r="H113" s="146">
        <v>9499</v>
      </c>
      <c r="I113" s="146">
        <v>9499</v>
      </c>
      <c r="J113" s="147">
        <v>9499</v>
      </c>
      <c r="L113" s="199"/>
      <c r="M113" s="200"/>
      <c r="P113" s="199"/>
    </row>
    <row r="114" spans="1:16" ht="51" x14ac:dyDescent="0.2">
      <c r="A114" s="182" t="s">
        <v>520</v>
      </c>
      <c r="B114" s="149" t="s">
        <v>522</v>
      </c>
      <c r="C114" s="103" t="s">
        <v>108</v>
      </c>
      <c r="D114" s="103" t="s">
        <v>220</v>
      </c>
      <c r="E114" s="138">
        <v>104</v>
      </c>
      <c r="F114" s="138">
        <v>104</v>
      </c>
      <c r="G114" s="138">
        <v>104</v>
      </c>
      <c r="H114" s="146">
        <v>4316</v>
      </c>
      <c r="I114" s="146">
        <v>4316</v>
      </c>
      <c r="J114" s="147">
        <v>4316</v>
      </c>
      <c r="L114" s="199"/>
      <c r="M114" s="200"/>
      <c r="P114" s="199"/>
    </row>
    <row r="115" spans="1:16" ht="63.75" x14ac:dyDescent="0.2">
      <c r="A115" s="182" t="s">
        <v>520</v>
      </c>
      <c r="B115" s="149" t="s">
        <v>523</v>
      </c>
      <c r="C115" s="103" t="s">
        <v>108</v>
      </c>
      <c r="D115" s="103" t="s">
        <v>220</v>
      </c>
      <c r="E115" s="138">
        <v>220</v>
      </c>
      <c r="F115" s="138">
        <v>220</v>
      </c>
      <c r="G115" s="138">
        <v>220</v>
      </c>
      <c r="H115" s="146">
        <v>9064</v>
      </c>
      <c r="I115" s="146">
        <v>9064</v>
      </c>
      <c r="J115" s="147">
        <v>9064</v>
      </c>
      <c r="L115" s="199"/>
      <c r="M115" s="200"/>
      <c r="P115" s="199"/>
    </row>
    <row r="116" spans="1:16" ht="63.75" x14ac:dyDescent="0.2">
      <c r="A116" s="182" t="s">
        <v>520</v>
      </c>
      <c r="B116" s="149" t="s">
        <v>524</v>
      </c>
      <c r="C116" s="103" t="s">
        <v>108</v>
      </c>
      <c r="D116" s="103" t="s">
        <v>220</v>
      </c>
      <c r="E116" s="138">
        <v>201</v>
      </c>
      <c r="F116" s="138">
        <v>201</v>
      </c>
      <c r="G116" s="138">
        <v>201</v>
      </c>
      <c r="H116" s="146">
        <v>8643</v>
      </c>
      <c r="I116" s="146">
        <v>8643</v>
      </c>
      <c r="J116" s="147">
        <v>8643</v>
      </c>
      <c r="L116" s="199"/>
      <c r="M116" s="200"/>
      <c r="P116" s="199"/>
    </row>
    <row r="117" spans="1:16" ht="63.75" x14ac:dyDescent="0.2">
      <c r="A117" s="182" t="s">
        <v>520</v>
      </c>
      <c r="B117" s="149" t="s">
        <v>525</v>
      </c>
      <c r="C117" s="103" t="s">
        <v>108</v>
      </c>
      <c r="D117" s="103" t="s">
        <v>220</v>
      </c>
      <c r="E117" s="138">
        <v>304</v>
      </c>
      <c r="F117" s="138">
        <v>304</v>
      </c>
      <c r="G117" s="138">
        <v>304</v>
      </c>
      <c r="H117" s="146">
        <v>12160</v>
      </c>
      <c r="I117" s="146">
        <v>12160</v>
      </c>
      <c r="J117" s="147">
        <v>12160</v>
      </c>
      <c r="L117" s="199"/>
      <c r="M117" s="200"/>
      <c r="P117" s="199"/>
    </row>
    <row r="118" spans="1:16" ht="63.75" x14ac:dyDescent="0.2">
      <c r="A118" s="182" t="s">
        <v>526</v>
      </c>
      <c r="B118" s="169" t="s">
        <v>527</v>
      </c>
      <c r="C118" s="103" t="s">
        <v>108</v>
      </c>
      <c r="D118" s="103" t="s">
        <v>220</v>
      </c>
      <c r="E118" s="138">
        <v>17</v>
      </c>
      <c r="F118" s="138">
        <v>17</v>
      </c>
      <c r="G118" s="138">
        <v>17</v>
      </c>
      <c r="H118" s="146">
        <v>697</v>
      </c>
      <c r="I118" s="146">
        <v>697</v>
      </c>
      <c r="J118" s="147">
        <v>697</v>
      </c>
      <c r="L118" s="199"/>
      <c r="M118" s="200"/>
      <c r="P118" s="199"/>
    </row>
    <row r="119" spans="1:16" ht="76.5" x14ac:dyDescent="0.2">
      <c r="A119" s="182" t="s">
        <v>528</v>
      </c>
      <c r="B119" s="149" t="s">
        <v>529</v>
      </c>
      <c r="C119" s="103" t="s">
        <v>108</v>
      </c>
      <c r="D119" s="103" t="s">
        <v>220</v>
      </c>
      <c r="E119" s="138">
        <v>199</v>
      </c>
      <c r="F119" s="138">
        <v>199</v>
      </c>
      <c r="G119" s="138">
        <v>199</v>
      </c>
      <c r="H119" s="146">
        <v>8358</v>
      </c>
      <c r="I119" s="146">
        <v>8358</v>
      </c>
      <c r="J119" s="147">
        <v>8358</v>
      </c>
      <c r="L119" s="199"/>
      <c r="M119" s="200"/>
      <c r="P119" s="199"/>
    </row>
    <row r="120" spans="1:16" ht="63.75" x14ac:dyDescent="0.2">
      <c r="A120" s="182" t="s">
        <v>528</v>
      </c>
      <c r="B120" s="149" t="s">
        <v>530</v>
      </c>
      <c r="C120" s="103" t="s">
        <v>108</v>
      </c>
      <c r="D120" s="103" t="s">
        <v>220</v>
      </c>
      <c r="E120" s="138">
        <v>73</v>
      </c>
      <c r="F120" s="138">
        <v>73</v>
      </c>
      <c r="G120" s="138">
        <v>73</v>
      </c>
      <c r="H120" s="146">
        <v>2847</v>
      </c>
      <c r="I120" s="146">
        <v>2847</v>
      </c>
      <c r="J120" s="147">
        <v>2847</v>
      </c>
      <c r="L120" s="199"/>
      <c r="M120" s="200"/>
      <c r="P120" s="199"/>
    </row>
    <row r="121" spans="1:16" ht="63.75" x14ac:dyDescent="0.2">
      <c r="A121" s="182" t="s">
        <v>528</v>
      </c>
      <c r="B121" s="169" t="s">
        <v>531</v>
      </c>
      <c r="C121" s="103" t="s">
        <v>108</v>
      </c>
      <c r="D121" s="103" t="s">
        <v>220</v>
      </c>
      <c r="E121" s="138">
        <v>84</v>
      </c>
      <c r="F121" s="138">
        <v>84</v>
      </c>
      <c r="G121" s="138">
        <v>84</v>
      </c>
      <c r="H121" s="146">
        <v>3276</v>
      </c>
      <c r="I121" s="146">
        <v>3276</v>
      </c>
      <c r="J121" s="147">
        <v>3276</v>
      </c>
      <c r="L121" s="199"/>
      <c r="M121" s="200"/>
      <c r="P121" s="199"/>
    </row>
    <row r="122" spans="1:16" ht="51" x14ac:dyDescent="0.2">
      <c r="A122" s="182" t="s">
        <v>528</v>
      </c>
      <c r="B122" s="169" t="s">
        <v>532</v>
      </c>
      <c r="C122" s="103" t="s">
        <v>108</v>
      </c>
      <c r="D122" s="103" t="s">
        <v>220</v>
      </c>
      <c r="E122" s="138">
        <v>64</v>
      </c>
      <c r="F122" s="138">
        <v>64</v>
      </c>
      <c r="G122" s="138">
        <v>64</v>
      </c>
      <c r="H122" s="146">
        <v>2496</v>
      </c>
      <c r="I122" s="146">
        <v>2496</v>
      </c>
      <c r="J122" s="147">
        <v>2496</v>
      </c>
      <c r="L122" s="199"/>
      <c r="M122" s="200"/>
      <c r="P122" s="199"/>
    </row>
    <row r="123" spans="1:16" ht="63.75" x14ac:dyDescent="0.2">
      <c r="A123" s="182" t="s">
        <v>533</v>
      </c>
      <c r="B123" s="169" t="s">
        <v>534</v>
      </c>
      <c r="C123" s="103" t="s">
        <v>108</v>
      </c>
      <c r="D123" s="103" t="s">
        <v>220</v>
      </c>
      <c r="E123" s="138">
        <v>8</v>
      </c>
      <c r="F123" s="138">
        <v>8</v>
      </c>
      <c r="G123" s="138">
        <v>8</v>
      </c>
      <c r="H123" s="146">
        <v>328</v>
      </c>
      <c r="I123" s="146">
        <v>328</v>
      </c>
      <c r="J123" s="147">
        <v>328</v>
      </c>
      <c r="L123" s="199"/>
      <c r="M123" s="200"/>
      <c r="P123" s="199"/>
    </row>
    <row r="124" spans="1:16" ht="63.75" x14ac:dyDescent="0.2">
      <c r="A124" s="182" t="s">
        <v>535</v>
      </c>
      <c r="B124" s="169" t="s">
        <v>536</v>
      </c>
      <c r="C124" s="103" t="s">
        <v>108</v>
      </c>
      <c r="D124" s="103" t="s">
        <v>220</v>
      </c>
      <c r="E124" s="138">
        <v>105</v>
      </c>
      <c r="F124" s="138">
        <v>105</v>
      </c>
      <c r="G124" s="138">
        <v>105</v>
      </c>
      <c r="H124" s="146">
        <v>4147.5</v>
      </c>
      <c r="I124" s="146">
        <v>4147.5</v>
      </c>
      <c r="J124" s="147">
        <v>4147.5</v>
      </c>
      <c r="L124" s="199"/>
      <c r="M124" s="200"/>
      <c r="P124" s="199"/>
    </row>
    <row r="125" spans="1:16" ht="63.75" x14ac:dyDescent="0.2">
      <c r="A125" s="182" t="s">
        <v>535</v>
      </c>
      <c r="B125" s="149" t="s">
        <v>537</v>
      </c>
      <c r="C125" s="103" t="s">
        <v>108</v>
      </c>
      <c r="D125" s="103" t="s">
        <v>220</v>
      </c>
      <c r="E125" s="138">
        <v>100</v>
      </c>
      <c r="F125" s="138">
        <v>100</v>
      </c>
      <c r="G125" s="138">
        <v>100</v>
      </c>
      <c r="H125" s="146">
        <v>4200</v>
      </c>
      <c r="I125" s="146">
        <v>4200</v>
      </c>
      <c r="J125" s="147">
        <v>4200</v>
      </c>
      <c r="L125" s="199"/>
      <c r="M125" s="200"/>
      <c r="P125" s="199"/>
    </row>
    <row r="126" spans="1:16" ht="76.5" x14ac:dyDescent="0.2">
      <c r="A126" s="182" t="s">
        <v>535</v>
      </c>
      <c r="B126" s="149" t="s">
        <v>538</v>
      </c>
      <c r="C126" s="103" t="s">
        <v>108</v>
      </c>
      <c r="D126" s="103" t="s">
        <v>220</v>
      </c>
      <c r="E126" s="138">
        <v>576</v>
      </c>
      <c r="F126" s="138">
        <v>576</v>
      </c>
      <c r="G126" s="138">
        <v>576</v>
      </c>
      <c r="H126" s="146">
        <v>23155</v>
      </c>
      <c r="I126" s="146">
        <v>23155</v>
      </c>
      <c r="J126" s="147">
        <v>23155</v>
      </c>
      <c r="L126" s="199"/>
      <c r="M126" s="200"/>
      <c r="P126" s="199"/>
    </row>
    <row r="127" spans="1:16" ht="63.75" x14ac:dyDescent="0.2">
      <c r="A127" s="182" t="s">
        <v>539</v>
      </c>
      <c r="B127" s="149" t="s">
        <v>540</v>
      </c>
      <c r="C127" s="103" t="s">
        <v>108</v>
      </c>
      <c r="D127" s="103" t="s">
        <v>220</v>
      </c>
      <c r="E127" s="138">
        <v>281</v>
      </c>
      <c r="F127" s="138">
        <v>281</v>
      </c>
      <c r="G127" s="138">
        <v>281</v>
      </c>
      <c r="H127" s="146">
        <v>11324</v>
      </c>
      <c r="I127" s="146">
        <v>11324</v>
      </c>
      <c r="J127" s="147">
        <v>11324</v>
      </c>
      <c r="L127" s="199"/>
      <c r="M127" s="200"/>
      <c r="P127" s="199"/>
    </row>
    <row r="128" spans="1:16" ht="76.5" x14ac:dyDescent="0.2">
      <c r="A128" s="182" t="s">
        <v>539</v>
      </c>
      <c r="B128" s="149" t="s">
        <v>541</v>
      </c>
      <c r="C128" s="103" t="s">
        <v>108</v>
      </c>
      <c r="D128" s="103" t="s">
        <v>220</v>
      </c>
      <c r="E128" s="138">
        <v>48</v>
      </c>
      <c r="F128" s="138">
        <v>48</v>
      </c>
      <c r="G128" s="138">
        <v>48</v>
      </c>
      <c r="H128" s="146">
        <v>1948</v>
      </c>
      <c r="I128" s="146">
        <v>1948</v>
      </c>
      <c r="J128" s="147">
        <v>1948</v>
      </c>
      <c r="L128" s="199"/>
      <c r="M128" s="200"/>
      <c r="P128" s="199"/>
    </row>
    <row r="129" spans="1:16" ht="63.75" x14ac:dyDescent="0.2">
      <c r="A129" s="182" t="s">
        <v>539</v>
      </c>
      <c r="B129" s="149" t="s">
        <v>542</v>
      </c>
      <c r="C129" s="103" t="s">
        <v>108</v>
      </c>
      <c r="D129" s="103" t="s">
        <v>220</v>
      </c>
      <c r="E129" s="138">
        <v>104</v>
      </c>
      <c r="F129" s="138">
        <v>104</v>
      </c>
      <c r="G129" s="138">
        <v>104</v>
      </c>
      <c r="H129" s="146">
        <v>4243</v>
      </c>
      <c r="I129" s="146">
        <v>4243</v>
      </c>
      <c r="J129" s="147">
        <v>4243</v>
      </c>
      <c r="L129" s="199"/>
      <c r="M129" s="200"/>
      <c r="P129" s="199"/>
    </row>
    <row r="130" spans="1:16" ht="63.75" x14ac:dyDescent="0.2">
      <c r="A130" s="182" t="s">
        <v>539</v>
      </c>
      <c r="B130" s="149" t="s">
        <v>543</v>
      </c>
      <c r="C130" s="103" t="s">
        <v>108</v>
      </c>
      <c r="D130" s="103" t="s">
        <v>220</v>
      </c>
      <c r="E130" s="138">
        <v>391</v>
      </c>
      <c r="F130" s="138">
        <v>391</v>
      </c>
      <c r="G130" s="138">
        <v>391</v>
      </c>
      <c r="H130" s="146">
        <v>16030</v>
      </c>
      <c r="I130" s="146">
        <v>16030</v>
      </c>
      <c r="J130" s="147">
        <v>16030</v>
      </c>
      <c r="L130" s="199"/>
      <c r="M130" s="200"/>
      <c r="P130" s="199"/>
    </row>
    <row r="131" spans="1:16" ht="63.75" x14ac:dyDescent="0.2">
      <c r="A131" s="182" t="s">
        <v>544</v>
      </c>
      <c r="B131" s="149" t="s">
        <v>545</v>
      </c>
      <c r="C131" s="103" t="s">
        <v>108</v>
      </c>
      <c r="D131" s="103" t="s">
        <v>220</v>
      </c>
      <c r="E131" s="138">
        <v>99</v>
      </c>
      <c r="F131" s="138">
        <v>99</v>
      </c>
      <c r="G131" s="138">
        <v>99</v>
      </c>
      <c r="H131" s="146">
        <v>4158</v>
      </c>
      <c r="I131" s="146">
        <v>4158</v>
      </c>
      <c r="J131" s="147">
        <v>4158</v>
      </c>
      <c r="L131" s="199"/>
      <c r="M131" s="200"/>
      <c r="P131" s="199"/>
    </row>
    <row r="132" spans="1:16" ht="63.75" x14ac:dyDescent="0.2">
      <c r="A132" s="182" t="s">
        <v>546</v>
      </c>
      <c r="B132" s="192" t="s">
        <v>547</v>
      </c>
      <c r="C132" s="103" t="s">
        <v>108</v>
      </c>
      <c r="D132" s="103" t="s">
        <v>220</v>
      </c>
      <c r="E132" s="138">
        <v>41</v>
      </c>
      <c r="F132" s="138">
        <v>41</v>
      </c>
      <c r="G132" s="138">
        <v>41</v>
      </c>
      <c r="H132" s="146">
        <v>1763</v>
      </c>
      <c r="I132" s="146">
        <v>1763</v>
      </c>
      <c r="J132" s="147">
        <v>1763</v>
      </c>
      <c r="L132" s="199"/>
      <c r="M132" s="200"/>
      <c r="P132" s="199"/>
    </row>
    <row r="133" spans="1:16" ht="63.75" x14ac:dyDescent="0.2">
      <c r="A133" s="182" t="s">
        <v>546</v>
      </c>
      <c r="B133" s="149" t="s">
        <v>548</v>
      </c>
      <c r="C133" s="103" t="s">
        <v>108</v>
      </c>
      <c r="D133" s="103" t="s">
        <v>220</v>
      </c>
      <c r="E133" s="138">
        <v>202</v>
      </c>
      <c r="F133" s="138">
        <v>202</v>
      </c>
      <c r="G133" s="138">
        <v>202</v>
      </c>
      <c r="H133" s="146">
        <v>8080</v>
      </c>
      <c r="I133" s="146">
        <v>8080</v>
      </c>
      <c r="J133" s="147">
        <v>8080</v>
      </c>
      <c r="L133" s="199"/>
      <c r="M133" s="200"/>
      <c r="P133" s="199"/>
    </row>
    <row r="134" spans="1:16" ht="63.75" x14ac:dyDescent="0.2">
      <c r="A134" s="182" t="s">
        <v>546</v>
      </c>
      <c r="B134" s="149" t="s">
        <v>549</v>
      </c>
      <c r="C134" s="103" t="s">
        <v>108</v>
      </c>
      <c r="D134" s="103" t="s">
        <v>220</v>
      </c>
      <c r="E134" s="138">
        <v>74</v>
      </c>
      <c r="F134" s="138">
        <v>74</v>
      </c>
      <c r="G134" s="138">
        <v>74</v>
      </c>
      <c r="H134" s="146">
        <v>3034</v>
      </c>
      <c r="I134" s="146">
        <v>3034</v>
      </c>
      <c r="J134" s="147">
        <v>3034</v>
      </c>
      <c r="L134" s="199"/>
      <c r="M134" s="200"/>
      <c r="P134" s="199"/>
    </row>
    <row r="135" spans="1:16" ht="63.75" x14ac:dyDescent="0.2">
      <c r="A135" s="182" t="s">
        <v>546</v>
      </c>
      <c r="B135" s="149" t="s">
        <v>550</v>
      </c>
      <c r="C135" s="103" t="s">
        <v>108</v>
      </c>
      <c r="D135" s="103" t="s">
        <v>220</v>
      </c>
      <c r="E135" s="138">
        <v>40</v>
      </c>
      <c r="F135" s="138">
        <v>40</v>
      </c>
      <c r="G135" s="138">
        <v>40</v>
      </c>
      <c r="H135" s="146">
        <v>1600</v>
      </c>
      <c r="I135" s="146">
        <v>1600</v>
      </c>
      <c r="J135" s="147">
        <v>1600</v>
      </c>
      <c r="L135" s="199"/>
      <c r="M135" s="200"/>
      <c r="P135" s="199"/>
    </row>
    <row r="136" spans="1:16" ht="63.75" x14ac:dyDescent="0.2">
      <c r="A136" s="182" t="s">
        <v>546</v>
      </c>
      <c r="B136" s="149" t="s">
        <v>551</v>
      </c>
      <c r="C136" s="103" t="s">
        <v>108</v>
      </c>
      <c r="D136" s="103" t="s">
        <v>220</v>
      </c>
      <c r="E136" s="138">
        <v>199</v>
      </c>
      <c r="F136" s="138">
        <v>199</v>
      </c>
      <c r="G136" s="138">
        <v>199</v>
      </c>
      <c r="H136" s="146">
        <v>7960</v>
      </c>
      <c r="I136" s="146">
        <v>7960</v>
      </c>
      <c r="J136" s="147">
        <v>7960</v>
      </c>
      <c r="L136" s="199"/>
      <c r="M136" s="200"/>
      <c r="P136" s="199"/>
    </row>
    <row r="137" spans="1:16" ht="63.75" x14ac:dyDescent="0.2">
      <c r="A137" s="182" t="s">
        <v>552</v>
      </c>
      <c r="B137" s="149" t="s">
        <v>553</v>
      </c>
      <c r="C137" s="103" t="s">
        <v>108</v>
      </c>
      <c r="D137" s="103" t="s">
        <v>220</v>
      </c>
      <c r="E137" s="138">
        <v>67</v>
      </c>
      <c r="F137" s="138">
        <v>67</v>
      </c>
      <c r="G137" s="138">
        <v>67</v>
      </c>
      <c r="H137" s="146">
        <v>2680</v>
      </c>
      <c r="I137" s="146">
        <v>2680</v>
      </c>
      <c r="J137" s="147">
        <v>2680</v>
      </c>
      <c r="L137" s="199"/>
      <c r="M137" s="200"/>
      <c r="P137" s="199"/>
    </row>
    <row r="138" spans="1:16" ht="51" x14ac:dyDescent="0.2">
      <c r="A138" s="182" t="s">
        <v>552</v>
      </c>
      <c r="B138" s="183" t="s">
        <v>554</v>
      </c>
      <c r="C138" s="103" t="s">
        <v>108</v>
      </c>
      <c r="D138" s="103" t="s">
        <v>220</v>
      </c>
      <c r="E138" s="138">
        <v>8</v>
      </c>
      <c r="F138" s="138">
        <v>8</v>
      </c>
      <c r="G138" s="138">
        <v>8</v>
      </c>
      <c r="H138" s="146">
        <v>320</v>
      </c>
      <c r="I138" s="146">
        <v>320</v>
      </c>
      <c r="J138" s="147">
        <v>320</v>
      </c>
      <c r="L138" s="199"/>
      <c r="M138" s="200"/>
      <c r="P138" s="199"/>
    </row>
    <row r="139" spans="1:16" ht="63.75" x14ac:dyDescent="0.2">
      <c r="A139" s="182" t="s">
        <v>555</v>
      </c>
      <c r="B139" s="149" t="s">
        <v>556</v>
      </c>
      <c r="C139" s="103" t="s">
        <v>108</v>
      </c>
      <c r="D139" s="103" t="s">
        <v>220</v>
      </c>
      <c r="E139" s="138">
        <v>52</v>
      </c>
      <c r="F139" s="138">
        <v>52</v>
      </c>
      <c r="G139" s="138">
        <v>52</v>
      </c>
      <c r="H139" s="146">
        <v>2080</v>
      </c>
      <c r="I139" s="146">
        <v>2080</v>
      </c>
      <c r="J139" s="147">
        <v>2080</v>
      </c>
      <c r="L139" s="199"/>
      <c r="M139" s="200"/>
      <c r="P139" s="199"/>
    </row>
    <row r="140" spans="1:16" ht="63.75" x14ac:dyDescent="0.2">
      <c r="A140" s="182" t="s">
        <v>555</v>
      </c>
      <c r="B140" s="149" t="s">
        <v>557</v>
      </c>
      <c r="C140" s="103" t="s">
        <v>108</v>
      </c>
      <c r="D140" s="103" t="s">
        <v>220</v>
      </c>
      <c r="E140" s="138">
        <v>93</v>
      </c>
      <c r="F140" s="138">
        <v>93</v>
      </c>
      <c r="G140" s="138">
        <v>93</v>
      </c>
      <c r="H140" s="146">
        <v>3720</v>
      </c>
      <c r="I140" s="146">
        <v>3720</v>
      </c>
      <c r="J140" s="147">
        <v>3720</v>
      </c>
      <c r="L140" s="199"/>
      <c r="M140" s="200"/>
      <c r="P140" s="199"/>
    </row>
    <row r="141" spans="1:16" ht="51" x14ac:dyDescent="0.2">
      <c r="A141" s="182" t="s">
        <v>555</v>
      </c>
      <c r="B141" s="149" t="s">
        <v>558</v>
      </c>
      <c r="C141" s="103" t="s">
        <v>108</v>
      </c>
      <c r="D141" s="103" t="s">
        <v>220</v>
      </c>
      <c r="E141" s="138">
        <v>99</v>
      </c>
      <c r="F141" s="138">
        <v>99</v>
      </c>
      <c r="G141" s="138">
        <v>99</v>
      </c>
      <c r="H141" s="146">
        <v>4059</v>
      </c>
      <c r="I141" s="146">
        <v>4059</v>
      </c>
      <c r="J141" s="147">
        <v>4059</v>
      </c>
      <c r="L141" s="199"/>
      <c r="M141" s="200"/>
      <c r="P141" s="199"/>
    </row>
    <row r="142" spans="1:16" ht="51" x14ac:dyDescent="0.2">
      <c r="A142" s="182" t="s">
        <v>559</v>
      </c>
      <c r="B142" s="149" t="s">
        <v>560</v>
      </c>
      <c r="C142" s="103" t="s">
        <v>108</v>
      </c>
      <c r="D142" s="103" t="s">
        <v>220</v>
      </c>
      <c r="E142" s="138">
        <v>232</v>
      </c>
      <c r="F142" s="138">
        <v>232</v>
      </c>
      <c r="G142" s="138">
        <v>232</v>
      </c>
      <c r="H142" s="146">
        <v>9744</v>
      </c>
      <c r="I142" s="146">
        <v>9744</v>
      </c>
      <c r="J142" s="147">
        <v>9744</v>
      </c>
      <c r="L142" s="199"/>
      <c r="M142" s="200"/>
      <c r="P142" s="199"/>
    </row>
    <row r="143" spans="1:16" ht="63.75" x14ac:dyDescent="0.2">
      <c r="A143" s="182" t="s">
        <v>561</v>
      </c>
      <c r="B143" s="183" t="s">
        <v>562</v>
      </c>
      <c r="C143" s="103" t="s">
        <v>108</v>
      </c>
      <c r="D143" s="103" t="s">
        <v>220</v>
      </c>
      <c r="E143" s="138">
        <v>675</v>
      </c>
      <c r="F143" s="138">
        <v>675</v>
      </c>
      <c r="G143" s="138">
        <v>675</v>
      </c>
      <c r="H143" s="146">
        <v>31725</v>
      </c>
      <c r="I143" s="146">
        <v>31725</v>
      </c>
      <c r="J143" s="147">
        <v>31725</v>
      </c>
      <c r="L143" s="199"/>
      <c r="M143" s="200"/>
      <c r="P143" s="199"/>
    </row>
    <row r="144" spans="1:16" ht="76.5" x14ac:dyDescent="0.2">
      <c r="A144" s="182" t="s">
        <v>561</v>
      </c>
      <c r="B144" s="183" t="s">
        <v>563</v>
      </c>
      <c r="C144" s="103" t="s">
        <v>108</v>
      </c>
      <c r="D144" s="103" t="s">
        <v>220</v>
      </c>
      <c r="E144" s="138">
        <v>266</v>
      </c>
      <c r="F144" s="138">
        <v>266</v>
      </c>
      <c r="G144" s="138">
        <v>266</v>
      </c>
      <c r="H144" s="146">
        <v>11172</v>
      </c>
      <c r="I144" s="146">
        <v>11172</v>
      </c>
      <c r="J144" s="147">
        <v>11172</v>
      </c>
      <c r="L144" s="199"/>
      <c r="M144" s="200"/>
      <c r="P144" s="199"/>
    </row>
    <row r="145" spans="1:16" ht="63.75" x14ac:dyDescent="0.2">
      <c r="A145" s="182" t="s">
        <v>564</v>
      </c>
      <c r="B145" s="183" t="s">
        <v>565</v>
      </c>
      <c r="C145" s="103" t="s">
        <v>108</v>
      </c>
      <c r="D145" s="103" t="s">
        <v>220</v>
      </c>
      <c r="E145" s="138">
        <v>53</v>
      </c>
      <c r="F145" s="138">
        <v>53</v>
      </c>
      <c r="G145" s="138">
        <v>53</v>
      </c>
      <c r="H145" s="146">
        <v>2120</v>
      </c>
      <c r="I145" s="146">
        <v>2120</v>
      </c>
      <c r="J145" s="147">
        <v>2120</v>
      </c>
      <c r="L145" s="199"/>
      <c r="M145" s="200"/>
      <c r="P145" s="199"/>
    </row>
    <row r="146" spans="1:16" ht="63.75" x14ac:dyDescent="0.2">
      <c r="A146" s="182" t="s">
        <v>564</v>
      </c>
      <c r="B146" s="183" t="s">
        <v>566</v>
      </c>
      <c r="C146" s="103" t="s">
        <v>108</v>
      </c>
      <c r="D146" s="103" t="s">
        <v>220</v>
      </c>
      <c r="E146" s="138">
        <v>66</v>
      </c>
      <c r="F146" s="138">
        <v>66</v>
      </c>
      <c r="G146" s="138">
        <v>66</v>
      </c>
      <c r="H146" s="146">
        <v>2640</v>
      </c>
      <c r="I146" s="146">
        <v>2640</v>
      </c>
      <c r="J146" s="147">
        <v>2640</v>
      </c>
      <c r="L146" s="199"/>
      <c r="M146" s="200"/>
      <c r="P146" s="199"/>
    </row>
    <row r="147" spans="1:16" ht="51" x14ac:dyDescent="0.2">
      <c r="A147" s="182" t="s">
        <v>567</v>
      </c>
      <c r="B147" s="192" t="s">
        <v>568</v>
      </c>
      <c r="C147" s="103" t="s">
        <v>108</v>
      </c>
      <c r="D147" s="103" t="s">
        <v>220</v>
      </c>
      <c r="E147" s="138">
        <v>33</v>
      </c>
      <c r="F147" s="138">
        <v>33</v>
      </c>
      <c r="G147" s="138">
        <v>33</v>
      </c>
      <c r="H147" s="146">
        <v>1320</v>
      </c>
      <c r="I147" s="146">
        <v>1320</v>
      </c>
      <c r="J147" s="147">
        <v>1320</v>
      </c>
      <c r="L147" s="199"/>
      <c r="M147" s="200"/>
      <c r="P147" s="199"/>
    </row>
    <row r="148" spans="1:16" ht="63.75" x14ac:dyDescent="0.2">
      <c r="A148" s="182" t="s">
        <v>569</v>
      </c>
      <c r="B148" s="192" t="s">
        <v>570</v>
      </c>
      <c r="C148" s="103" t="s">
        <v>108</v>
      </c>
      <c r="D148" s="103" t="s">
        <v>220</v>
      </c>
      <c r="E148" s="138">
        <v>21</v>
      </c>
      <c r="F148" s="138">
        <v>21</v>
      </c>
      <c r="G148" s="138">
        <v>21</v>
      </c>
      <c r="H148" s="146">
        <v>857</v>
      </c>
      <c r="I148" s="146">
        <v>857</v>
      </c>
      <c r="J148" s="147">
        <v>857</v>
      </c>
      <c r="L148" s="199"/>
      <c r="M148" s="200"/>
      <c r="P148" s="199"/>
    </row>
    <row r="149" spans="1:16" ht="63.75" x14ac:dyDescent="0.2">
      <c r="A149" s="182" t="s">
        <v>569</v>
      </c>
      <c r="B149" s="183" t="s">
        <v>571</v>
      </c>
      <c r="C149" s="103" t="s">
        <v>108</v>
      </c>
      <c r="D149" s="103" t="s">
        <v>220</v>
      </c>
      <c r="E149" s="138">
        <v>160</v>
      </c>
      <c r="F149" s="138">
        <v>160</v>
      </c>
      <c r="G149" s="138">
        <v>160</v>
      </c>
      <c r="H149" s="146">
        <v>6544</v>
      </c>
      <c r="I149" s="146">
        <v>6544</v>
      </c>
      <c r="J149" s="147">
        <v>6544</v>
      </c>
      <c r="L149" s="199"/>
      <c r="M149" s="200"/>
      <c r="P149" s="199"/>
    </row>
    <row r="150" spans="1:16" ht="63.75" x14ac:dyDescent="0.2">
      <c r="A150" s="182" t="s">
        <v>569</v>
      </c>
      <c r="B150" s="183" t="s">
        <v>572</v>
      </c>
      <c r="C150" s="103" t="s">
        <v>108</v>
      </c>
      <c r="D150" s="103" t="s">
        <v>220</v>
      </c>
      <c r="E150" s="138">
        <v>95</v>
      </c>
      <c r="F150" s="138">
        <v>95</v>
      </c>
      <c r="G150" s="138">
        <v>95</v>
      </c>
      <c r="H150" s="146">
        <v>3895</v>
      </c>
      <c r="I150" s="146">
        <v>3895</v>
      </c>
      <c r="J150" s="147">
        <v>3895</v>
      </c>
      <c r="L150" s="199"/>
      <c r="M150" s="200"/>
      <c r="P150" s="199"/>
    </row>
    <row r="151" spans="1:16" ht="63.75" x14ac:dyDescent="0.2">
      <c r="A151" s="182" t="s">
        <v>573</v>
      </c>
      <c r="B151" s="183" t="s">
        <v>574</v>
      </c>
      <c r="C151" s="103" t="s">
        <v>108</v>
      </c>
      <c r="D151" s="103" t="s">
        <v>220</v>
      </c>
      <c r="E151" s="138">
        <v>395</v>
      </c>
      <c r="F151" s="138">
        <v>395</v>
      </c>
      <c r="G151" s="138">
        <v>395</v>
      </c>
      <c r="H151" s="146">
        <v>15879</v>
      </c>
      <c r="I151" s="146">
        <v>15879</v>
      </c>
      <c r="J151" s="147">
        <v>15879</v>
      </c>
      <c r="L151" s="199"/>
      <c r="M151" s="200"/>
      <c r="P151" s="199"/>
    </row>
    <row r="152" spans="1:16" ht="63.75" x14ac:dyDescent="0.2">
      <c r="A152" s="182" t="s">
        <v>573</v>
      </c>
      <c r="B152" s="192" t="s">
        <v>575</v>
      </c>
      <c r="C152" s="103" t="s">
        <v>108</v>
      </c>
      <c r="D152" s="103" t="s">
        <v>220</v>
      </c>
      <c r="E152" s="138">
        <v>41</v>
      </c>
      <c r="F152" s="138">
        <v>41</v>
      </c>
      <c r="G152" s="138">
        <v>41</v>
      </c>
      <c r="H152" s="146">
        <v>1648</v>
      </c>
      <c r="I152" s="146">
        <v>1648</v>
      </c>
      <c r="J152" s="147">
        <v>1648</v>
      </c>
      <c r="L152" s="199"/>
      <c r="M152" s="200"/>
      <c r="P152" s="199"/>
    </row>
    <row r="153" spans="1:16" ht="51" x14ac:dyDescent="0.2">
      <c r="A153" s="182" t="s">
        <v>573</v>
      </c>
      <c r="B153" s="183" t="s">
        <v>576</v>
      </c>
      <c r="C153" s="103" t="s">
        <v>108</v>
      </c>
      <c r="D153" s="103" t="s">
        <v>220</v>
      </c>
      <c r="E153" s="138">
        <v>51</v>
      </c>
      <c r="F153" s="138">
        <v>51</v>
      </c>
      <c r="G153" s="138">
        <v>51</v>
      </c>
      <c r="H153" s="146">
        <v>2065</v>
      </c>
      <c r="I153" s="146">
        <v>2065</v>
      </c>
      <c r="J153" s="147">
        <v>2065</v>
      </c>
      <c r="L153" s="199"/>
      <c r="M153" s="200"/>
      <c r="P153" s="199"/>
    </row>
    <row r="154" spans="1:16" ht="63.75" x14ac:dyDescent="0.2">
      <c r="A154" s="182" t="s">
        <v>573</v>
      </c>
      <c r="B154" s="183" t="s">
        <v>577</v>
      </c>
      <c r="C154" s="103" t="s">
        <v>108</v>
      </c>
      <c r="D154" s="103" t="s">
        <v>220</v>
      </c>
      <c r="E154" s="138">
        <v>157</v>
      </c>
      <c r="F154" s="138">
        <v>157</v>
      </c>
      <c r="G154" s="138">
        <v>157</v>
      </c>
      <c r="H154" s="146">
        <v>6311</v>
      </c>
      <c r="I154" s="146">
        <v>6311</v>
      </c>
      <c r="J154" s="147">
        <v>6311</v>
      </c>
      <c r="L154" s="199"/>
      <c r="M154" s="200"/>
      <c r="P154" s="199"/>
    </row>
    <row r="155" spans="1:16" ht="51" x14ac:dyDescent="0.2">
      <c r="A155" s="182" t="s">
        <v>573</v>
      </c>
      <c r="B155" s="183" t="s">
        <v>578</v>
      </c>
      <c r="C155" s="103" t="s">
        <v>108</v>
      </c>
      <c r="D155" s="103" t="s">
        <v>220</v>
      </c>
      <c r="E155" s="138">
        <v>42</v>
      </c>
      <c r="F155" s="138">
        <v>42</v>
      </c>
      <c r="G155" s="138">
        <v>42</v>
      </c>
      <c r="H155" s="146">
        <v>1688</v>
      </c>
      <c r="I155" s="146">
        <v>1688</v>
      </c>
      <c r="J155" s="147">
        <v>1688</v>
      </c>
      <c r="L155" s="199"/>
      <c r="M155" s="200"/>
      <c r="P155" s="199"/>
    </row>
    <row r="156" spans="1:16" ht="63.75" x14ac:dyDescent="0.2">
      <c r="A156" s="182" t="s">
        <v>579</v>
      </c>
      <c r="B156" s="183" t="s">
        <v>580</v>
      </c>
      <c r="C156" s="103" t="s">
        <v>108</v>
      </c>
      <c r="D156" s="103" t="s">
        <v>220</v>
      </c>
      <c r="E156" s="138">
        <v>75</v>
      </c>
      <c r="F156" s="138">
        <v>75</v>
      </c>
      <c r="G156" s="138">
        <v>75</v>
      </c>
      <c r="H156" s="146">
        <v>3015</v>
      </c>
      <c r="I156" s="146">
        <v>3015</v>
      </c>
      <c r="J156" s="147">
        <v>3015</v>
      </c>
      <c r="L156" s="199"/>
      <c r="M156" s="200"/>
      <c r="P156" s="199"/>
    </row>
    <row r="157" spans="1:16" ht="51" x14ac:dyDescent="0.2">
      <c r="A157" s="182" t="s">
        <v>581</v>
      </c>
      <c r="B157" s="183" t="s">
        <v>582</v>
      </c>
      <c r="C157" s="103" t="s">
        <v>108</v>
      </c>
      <c r="D157" s="103" t="s">
        <v>220</v>
      </c>
      <c r="E157" s="138">
        <v>174</v>
      </c>
      <c r="F157" s="138">
        <v>174</v>
      </c>
      <c r="G157" s="138">
        <v>174</v>
      </c>
      <c r="H157" s="146">
        <v>6994</v>
      </c>
      <c r="I157" s="146">
        <v>6994</v>
      </c>
      <c r="J157" s="147">
        <v>6994</v>
      </c>
      <c r="L157" s="199"/>
      <c r="M157" s="200"/>
      <c r="P157" s="199"/>
    </row>
    <row r="158" spans="1:16" ht="63.75" x14ac:dyDescent="0.2">
      <c r="A158" s="182" t="s">
        <v>583</v>
      </c>
      <c r="B158" s="183" t="s">
        <v>584</v>
      </c>
      <c r="C158" s="103" t="s">
        <v>108</v>
      </c>
      <c r="D158" s="103" t="s">
        <v>220</v>
      </c>
      <c r="E158" s="138">
        <v>8</v>
      </c>
      <c r="F158" s="138">
        <v>8</v>
      </c>
      <c r="G158" s="138">
        <v>8</v>
      </c>
      <c r="H158" s="146">
        <v>321</v>
      </c>
      <c r="I158" s="146">
        <v>321</v>
      </c>
      <c r="J158" s="147">
        <v>321</v>
      </c>
      <c r="L158" s="199"/>
      <c r="M158" s="200"/>
      <c r="P158" s="199"/>
    </row>
    <row r="159" spans="1:16" ht="51" x14ac:dyDescent="0.2">
      <c r="A159" s="182" t="s">
        <v>583</v>
      </c>
      <c r="B159" s="192" t="s">
        <v>585</v>
      </c>
      <c r="C159" s="103" t="s">
        <v>108</v>
      </c>
      <c r="D159" s="103" t="s">
        <v>220</v>
      </c>
      <c r="E159" s="138">
        <v>33</v>
      </c>
      <c r="F159" s="138">
        <v>33</v>
      </c>
      <c r="G159" s="138">
        <v>33</v>
      </c>
      <c r="H159" s="146">
        <v>1326</v>
      </c>
      <c r="I159" s="146">
        <v>1326</v>
      </c>
      <c r="J159" s="147">
        <v>1326</v>
      </c>
      <c r="L159" s="199"/>
      <c r="M159" s="200"/>
      <c r="P159" s="199"/>
    </row>
    <row r="160" spans="1:16" ht="63.75" x14ac:dyDescent="0.2">
      <c r="A160" s="182" t="s">
        <v>583</v>
      </c>
      <c r="B160" s="192" t="s">
        <v>586</v>
      </c>
      <c r="C160" s="103" t="s">
        <v>108</v>
      </c>
      <c r="D160" s="103" t="s">
        <v>220</v>
      </c>
      <c r="E160" s="138">
        <v>8</v>
      </c>
      <c r="F160" s="138">
        <v>8</v>
      </c>
      <c r="G160" s="138">
        <v>8</v>
      </c>
      <c r="H160" s="146">
        <v>321</v>
      </c>
      <c r="I160" s="146">
        <v>321</v>
      </c>
      <c r="J160" s="147">
        <v>321</v>
      </c>
      <c r="L160" s="199"/>
      <c r="M160" s="200"/>
      <c r="P160" s="199"/>
    </row>
    <row r="161" spans="1:16" ht="51" x14ac:dyDescent="0.2">
      <c r="A161" s="182" t="s">
        <v>583</v>
      </c>
      <c r="B161" s="192" t="s">
        <v>587</v>
      </c>
      <c r="C161" s="103" t="s">
        <v>108</v>
      </c>
      <c r="D161" s="103" t="s">
        <v>220</v>
      </c>
      <c r="E161" s="138">
        <v>33</v>
      </c>
      <c r="F161" s="138">
        <v>33</v>
      </c>
      <c r="G161" s="138">
        <v>33</v>
      </c>
      <c r="H161" s="146">
        <v>1326</v>
      </c>
      <c r="I161" s="146">
        <v>1326</v>
      </c>
      <c r="J161" s="147">
        <v>1326</v>
      </c>
      <c r="L161" s="199"/>
      <c r="M161" s="200"/>
      <c r="P161" s="199"/>
    </row>
    <row r="162" spans="1:16" ht="51" x14ac:dyDescent="0.2">
      <c r="A162" s="182" t="s">
        <v>583</v>
      </c>
      <c r="B162" s="183" t="s">
        <v>588</v>
      </c>
      <c r="C162" s="103" t="s">
        <v>108</v>
      </c>
      <c r="D162" s="103" t="s">
        <v>220</v>
      </c>
      <c r="E162" s="138">
        <v>109</v>
      </c>
      <c r="F162" s="138">
        <v>109</v>
      </c>
      <c r="G162" s="138">
        <v>109</v>
      </c>
      <c r="H162" s="146">
        <v>4381.8</v>
      </c>
      <c r="I162" s="146">
        <v>4381.8</v>
      </c>
      <c r="J162" s="147">
        <v>4381.8</v>
      </c>
      <c r="L162" s="199"/>
      <c r="M162" s="200"/>
      <c r="P162" s="199"/>
    </row>
    <row r="163" spans="1:16" ht="51" x14ac:dyDescent="0.2">
      <c r="A163" s="182" t="s">
        <v>589</v>
      </c>
      <c r="B163" s="183" t="s">
        <v>590</v>
      </c>
      <c r="C163" s="103" t="s">
        <v>108</v>
      </c>
      <c r="D163" s="103" t="s">
        <v>220</v>
      </c>
      <c r="E163" s="138">
        <v>510</v>
      </c>
      <c r="F163" s="138">
        <v>510</v>
      </c>
      <c r="G163" s="138">
        <v>510</v>
      </c>
      <c r="H163" s="146">
        <v>20502</v>
      </c>
      <c r="I163" s="146">
        <v>20502</v>
      </c>
      <c r="J163" s="147">
        <v>20502</v>
      </c>
      <c r="L163" s="199"/>
      <c r="M163" s="200"/>
      <c r="P163" s="199"/>
    </row>
    <row r="164" spans="1:16" ht="63.75" x14ac:dyDescent="0.2">
      <c r="A164" s="182" t="s">
        <v>589</v>
      </c>
      <c r="B164" s="183" t="s">
        <v>591</v>
      </c>
      <c r="C164" s="103" t="s">
        <v>108</v>
      </c>
      <c r="D164" s="103" t="s">
        <v>220</v>
      </c>
      <c r="E164" s="138">
        <v>107</v>
      </c>
      <c r="F164" s="138">
        <v>107</v>
      </c>
      <c r="G164" s="138">
        <v>107</v>
      </c>
      <c r="H164" s="146">
        <v>4354.8999999999996</v>
      </c>
      <c r="I164" s="146">
        <v>4354.8999999999996</v>
      </c>
      <c r="J164" s="147">
        <v>4354.8999999999996</v>
      </c>
      <c r="L164" s="199"/>
      <c r="M164" s="200"/>
      <c r="P164" s="199"/>
    </row>
    <row r="165" spans="1:16" ht="63.75" x14ac:dyDescent="0.2">
      <c r="A165" s="182" t="s">
        <v>592</v>
      </c>
      <c r="B165" s="183" t="s">
        <v>593</v>
      </c>
      <c r="C165" s="103" t="s">
        <v>108</v>
      </c>
      <c r="D165" s="103" t="s">
        <v>220</v>
      </c>
      <c r="E165" s="138">
        <v>92</v>
      </c>
      <c r="F165" s="138">
        <v>92</v>
      </c>
      <c r="G165" s="138">
        <v>92</v>
      </c>
      <c r="H165" s="146">
        <v>3707.6</v>
      </c>
      <c r="I165" s="146">
        <v>3707.6</v>
      </c>
      <c r="J165" s="147">
        <v>3707.6</v>
      </c>
      <c r="L165" s="199"/>
      <c r="M165" s="200"/>
      <c r="P165" s="199"/>
    </row>
    <row r="166" spans="1:16" ht="51" x14ac:dyDescent="0.2">
      <c r="A166" s="182" t="s">
        <v>235</v>
      </c>
      <c r="B166" s="183" t="s">
        <v>594</v>
      </c>
      <c r="C166" s="103" t="s">
        <v>108</v>
      </c>
      <c r="D166" s="103" t="s">
        <v>220</v>
      </c>
      <c r="E166" s="138">
        <v>92</v>
      </c>
      <c r="F166" s="138">
        <v>92</v>
      </c>
      <c r="G166" s="138">
        <v>92</v>
      </c>
      <c r="H166" s="146">
        <v>3698.4</v>
      </c>
      <c r="I166" s="146">
        <v>3698.4</v>
      </c>
      <c r="J166" s="147">
        <v>3698.4</v>
      </c>
      <c r="L166" s="199"/>
      <c r="M166" s="200"/>
      <c r="P166" s="199"/>
    </row>
    <row r="167" spans="1:16" ht="63.75" x14ac:dyDescent="0.2">
      <c r="A167" s="182" t="s">
        <v>595</v>
      </c>
      <c r="B167" s="183" t="s">
        <v>596</v>
      </c>
      <c r="C167" s="103" t="s">
        <v>108</v>
      </c>
      <c r="D167" s="103" t="s">
        <v>220</v>
      </c>
      <c r="E167" s="138">
        <v>77</v>
      </c>
      <c r="F167" s="138">
        <v>77</v>
      </c>
      <c r="G167" s="138">
        <v>77</v>
      </c>
      <c r="H167" s="146">
        <v>3157</v>
      </c>
      <c r="I167" s="146">
        <v>3157</v>
      </c>
      <c r="J167" s="147">
        <v>3157</v>
      </c>
      <c r="L167" s="199"/>
      <c r="M167" s="200"/>
      <c r="P167" s="199"/>
    </row>
    <row r="168" spans="1:16" ht="51" x14ac:dyDescent="0.2">
      <c r="A168" s="182" t="s">
        <v>597</v>
      </c>
      <c r="B168" s="183" t="s">
        <v>598</v>
      </c>
      <c r="C168" s="103" t="s">
        <v>108</v>
      </c>
      <c r="D168" s="103" t="s">
        <v>220</v>
      </c>
      <c r="E168" s="138">
        <v>33</v>
      </c>
      <c r="F168" s="138">
        <v>33</v>
      </c>
      <c r="G168" s="138">
        <v>33</v>
      </c>
      <c r="H168" s="146">
        <v>1353</v>
      </c>
      <c r="I168" s="146">
        <v>1353</v>
      </c>
      <c r="J168" s="147">
        <v>1353</v>
      </c>
      <c r="L168" s="199"/>
      <c r="M168" s="200"/>
      <c r="P168" s="199"/>
    </row>
    <row r="169" spans="1:16" ht="63.75" x14ac:dyDescent="0.2">
      <c r="A169" s="182" t="s">
        <v>446</v>
      </c>
      <c r="B169" s="149" t="s">
        <v>599</v>
      </c>
      <c r="C169" s="103" t="s">
        <v>108</v>
      </c>
      <c r="D169" s="103" t="s">
        <v>220</v>
      </c>
      <c r="E169" s="138">
        <v>83</v>
      </c>
      <c r="F169" s="138">
        <v>83</v>
      </c>
      <c r="G169" s="138">
        <v>83</v>
      </c>
      <c r="H169" s="146">
        <v>3569</v>
      </c>
      <c r="I169" s="146">
        <v>3569</v>
      </c>
      <c r="J169" s="147">
        <v>3569</v>
      </c>
      <c r="L169" s="199"/>
      <c r="M169" s="200"/>
      <c r="P169" s="199"/>
    </row>
    <row r="170" spans="1:16" ht="76.5" x14ac:dyDescent="0.2">
      <c r="A170" s="182" t="s">
        <v>446</v>
      </c>
      <c r="B170" s="149" t="s">
        <v>600</v>
      </c>
      <c r="C170" s="103" t="s">
        <v>108</v>
      </c>
      <c r="D170" s="103" t="s">
        <v>220</v>
      </c>
      <c r="E170" s="138">
        <v>4</v>
      </c>
      <c r="F170" s="138">
        <v>4</v>
      </c>
      <c r="G170" s="138">
        <v>4</v>
      </c>
      <c r="H170" s="146">
        <v>164</v>
      </c>
      <c r="I170" s="146">
        <v>164</v>
      </c>
      <c r="J170" s="147">
        <v>164</v>
      </c>
      <c r="L170" s="199"/>
      <c r="M170" s="200"/>
      <c r="P170" s="199"/>
    </row>
    <row r="171" spans="1:16" ht="76.5" x14ac:dyDescent="0.2">
      <c r="A171" s="182" t="s">
        <v>446</v>
      </c>
      <c r="B171" s="149" t="s">
        <v>601</v>
      </c>
      <c r="C171" s="103" t="s">
        <v>108</v>
      </c>
      <c r="D171" s="103" t="s">
        <v>220</v>
      </c>
      <c r="E171" s="138">
        <v>8</v>
      </c>
      <c r="F171" s="138">
        <v>8</v>
      </c>
      <c r="G171" s="138">
        <v>8</v>
      </c>
      <c r="H171" s="146">
        <v>328</v>
      </c>
      <c r="I171" s="146">
        <v>328</v>
      </c>
      <c r="J171" s="147">
        <v>328</v>
      </c>
      <c r="L171" s="199"/>
      <c r="M171" s="200"/>
      <c r="P171" s="199"/>
    </row>
    <row r="172" spans="1:16" ht="63.75" x14ac:dyDescent="0.2">
      <c r="A172" s="182" t="s">
        <v>602</v>
      </c>
      <c r="B172" s="149" t="s">
        <v>603</v>
      </c>
      <c r="C172" s="103" t="s">
        <v>108</v>
      </c>
      <c r="D172" s="103" t="s">
        <v>220</v>
      </c>
      <c r="E172" s="138">
        <v>17</v>
      </c>
      <c r="F172" s="138">
        <v>17</v>
      </c>
      <c r="G172" s="138">
        <v>17</v>
      </c>
      <c r="H172" s="146">
        <v>697</v>
      </c>
      <c r="I172" s="146">
        <v>697</v>
      </c>
      <c r="J172" s="147">
        <v>697</v>
      </c>
      <c r="L172" s="199"/>
      <c r="M172" s="200"/>
      <c r="P172" s="199"/>
    </row>
    <row r="173" spans="1:16" ht="63.75" x14ac:dyDescent="0.2">
      <c r="A173" s="182" t="s">
        <v>604</v>
      </c>
      <c r="B173" s="169" t="s">
        <v>605</v>
      </c>
      <c r="C173" s="103" t="s">
        <v>108</v>
      </c>
      <c r="D173" s="103" t="s">
        <v>220</v>
      </c>
      <c r="E173" s="138">
        <v>4</v>
      </c>
      <c r="F173" s="138">
        <v>4</v>
      </c>
      <c r="G173" s="138">
        <v>4</v>
      </c>
      <c r="H173" s="146">
        <v>164</v>
      </c>
      <c r="I173" s="146">
        <v>164</v>
      </c>
      <c r="J173" s="147">
        <v>164</v>
      </c>
      <c r="L173" s="199"/>
      <c r="M173" s="200"/>
      <c r="P173" s="199"/>
    </row>
    <row r="174" spans="1:16" ht="63.75" x14ac:dyDescent="0.2">
      <c r="A174" s="182" t="s">
        <v>604</v>
      </c>
      <c r="B174" s="149" t="s">
        <v>606</v>
      </c>
      <c r="C174" s="103" t="s">
        <v>108</v>
      </c>
      <c r="D174" s="103" t="s">
        <v>220</v>
      </c>
      <c r="E174" s="138">
        <v>8</v>
      </c>
      <c r="F174" s="138">
        <v>8</v>
      </c>
      <c r="G174" s="138">
        <v>8</v>
      </c>
      <c r="H174" s="146">
        <v>336</v>
      </c>
      <c r="I174" s="146">
        <v>336</v>
      </c>
      <c r="J174" s="147">
        <v>336</v>
      </c>
      <c r="L174" s="199"/>
      <c r="M174" s="200"/>
      <c r="P174" s="199"/>
    </row>
    <row r="175" spans="1:16" ht="76.5" x14ac:dyDescent="0.2">
      <c r="A175" s="182" t="s">
        <v>604</v>
      </c>
      <c r="B175" s="149" t="s">
        <v>607</v>
      </c>
      <c r="C175" s="103" t="s">
        <v>108</v>
      </c>
      <c r="D175" s="103" t="s">
        <v>220</v>
      </c>
      <c r="E175" s="138">
        <v>4</v>
      </c>
      <c r="F175" s="138">
        <v>4</v>
      </c>
      <c r="G175" s="138">
        <v>4</v>
      </c>
      <c r="H175" s="146">
        <v>164</v>
      </c>
      <c r="I175" s="146">
        <v>164</v>
      </c>
      <c r="J175" s="147">
        <v>164</v>
      </c>
      <c r="L175" s="199"/>
      <c r="M175" s="200"/>
      <c r="P175" s="199"/>
    </row>
    <row r="176" spans="1:16" ht="63.75" x14ac:dyDescent="0.2">
      <c r="A176" s="182" t="s">
        <v>608</v>
      </c>
      <c r="B176" s="149" t="s">
        <v>609</v>
      </c>
      <c r="C176" s="103" t="s">
        <v>108</v>
      </c>
      <c r="D176" s="103" t="s">
        <v>220</v>
      </c>
      <c r="E176" s="138">
        <v>384</v>
      </c>
      <c r="F176" s="138">
        <v>384</v>
      </c>
      <c r="G176" s="138">
        <v>384</v>
      </c>
      <c r="H176" s="146">
        <v>15744</v>
      </c>
      <c r="I176" s="146">
        <v>15744</v>
      </c>
      <c r="J176" s="147">
        <v>15744</v>
      </c>
      <c r="L176" s="199"/>
      <c r="M176" s="200"/>
      <c r="P176" s="199"/>
    </row>
    <row r="177" spans="1:16" ht="51" x14ac:dyDescent="0.2">
      <c r="A177" s="182" t="s">
        <v>610</v>
      </c>
      <c r="B177" s="149" t="s">
        <v>611</v>
      </c>
      <c r="C177" s="103" t="s">
        <v>108</v>
      </c>
      <c r="D177" s="103" t="s">
        <v>220</v>
      </c>
      <c r="E177" s="138">
        <v>1</v>
      </c>
      <c r="F177" s="138">
        <v>1</v>
      </c>
      <c r="G177" s="138">
        <v>1</v>
      </c>
      <c r="H177" s="146">
        <v>41</v>
      </c>
      <c r="I177" s="146">
        <v>41</v>
      </c>
      <c r="J177" s="147">
        <v>41</v>
      </c>
      <c r="L177" s="199"/>
      <c r="M177" s="200"/>
      <c r="P177" s="199"/>
    </row>
    <row r="178" spans="1:16" ht="63.75" x14ac:dyDescent="0.2">
      <c r="A178" s="182" t="s">
        <v>612</v>
      </c>
      <c r="B178" s="183" t="s">
        <v>613</v>
      </c>
      <c r="C178" s="103" t="s">
        <v>108</v>
      </c>
      <c r="D178" s="103" t="s">
        <v>220</v>
      </c>
      <c r="E178" s="138">
        <v>84</v>
      </c>
      <c r="F178" s="138">
        <v>84</v>
      </c>
      <c r="G178" s="138">
        <v>84</v>
      </c>
      <c r="H178" s="146">
        <v>3444</v>
      </c>
      <c r="I178" s="146">
        <v>3444</v>
      </c>
      <c r="J178" s="147">
        <v>3444</v>
      </c>
      <c r="L178" s="199"/>
      <c r="M178" s="200"/>
      <c r="P178" s="199"/>
    </row>
    <row r="179" spans="1:16" ht="63.75" x14ac:dyDescent="0.2">
      <c r="A179" s="182" t="s">
        <v>614</v>
      </c>
      <c r="B179" s="183" t="s">
        <v>615</v>
      </c>
      <c r="C179" s="103" t="s">
        <v>108</v>
      </c>
      <c r="D179" s="103" t="s">
        <v>220</v>
      </c>
      <c r="E179" s="138">
        <v>9</v>
      </c>
      <c r="F179" s="138">
        <v>9</v>
      </c>
      <c r="G179" s="138">
        <v>9</v>
      </c>
      <c r="H179" s="146">
        <v>369</v>
      </c>
      <c r="I179" s="146">
        <v>369</v>
      </c>
      <c r="J179" s="147">
        <v>369</v>
      </c>
      <c r="L179" s="199"/>
      <c r="M179" s="200"/>
      <c r="P179" s="199"/>
    </row>
    <row r="180" spans="1:16" ht="63.75" x14ac:dyDescent="0.2">
      <c r="A180" s="182" t="s">
        <v>616</v>
      </c>
      <c r="B180" s="192" t="s">
        <v>617</v>
      </c>
      <c r="C180" s="103" t="s">
        <v>108</v>
      </c>
      <c r="D180" s="103" t="s">
        <v>220</v>
      </c>
      <c r="E180" s="138">
        <v>8</v>
      </c>
      <c r="F180" s="138">
        <v>8</v>
      </c>
      <c r="G180" s="138">
        <v>8</v>
      </c>
      <c r="H180" s="146">
        <v>328</v>
      </c>
      <c r="I180" s="146">
        <v>328</v>
      </c>
      <c r="J180" s="147">
        <v>328</v>
      </c>
      <c r="L180" s="199"/>
      <c r="M180" s="200"/>
      <c r="P180" s="199"/>
    </row>
    <row r="181" spans="1:16" ht="63.75" x14ac:dyDescent="0.2">
      <c r="A181" s="182" t="s">
        <v>616</v>
      </c>
      <c r="B181" s="183" t="s">
        <v>618</v>
      </c>
      <c r="C181" s="103" t="s">
        <v>108</v>
      </c>
      <c r="D181" s="103" t="s">
        <v>220</v>
      </c>
      <c r="E181" s="138">
        <v>41</v>
      </c>
      <c r="F181" s="138">
        <v>41</v>
      </c>
      <c r="G181" s="138">
        <v>41</v>
      </c>
      <c r="H181" s="146">
        <v>1681</v>
      </c>
      <c r="I181" s="146">
        <v>1681</v>
      </c>
      <c r="J181" s="147">
        <v>1681</v>
      </c>
      <c r="L181" s="199"/>
      <c r="M181" s="200"/>
      <c r="P181" s="199"/>
    </row>
    <row r="182" spans="1:16" ht="63.75" x14ac:dyDescent="0.2">
      <c r="A182" s="182" t="s">
        <v>619</v>
      </c>
      <c r="B182" s="183" t="s">
        <v>620</v>
      </c>
      <c r="C182" s="103" t="s">
        <v>108</v>
      </c>
      <c r="D182" s="103" t="s">
        <v>220</v>
      </c>
      <c r="E182" s="138">
        <v>51</v>
      </c>
      <c r="F182" s="138">
        <v>51</v>
      </c>
      <c r="G182" s="138">
        <v>51</v>
      </c>
      <c r="H182" s="146">
        <v>2091</v>
      </c>
      <c r="I182" s="146">
        <v>2091</v>
      </c>
      <c r="J182" s="147">
        <v>2091</v>
      </c>
      <c r="L182" s="199"/>
      <c r="M182" s="200"/>
      <c r="P182" s="199"/>
    </row>
    <row r="183" spans="1:16" ht="51" x14ac:dyDescent="0.2">
      <c r="A183" s="182" t="s">
        <v>619</v>
      </c>
      <c r="B183" s="183" t="s">
        <v>621</v>
      </c>
      <c r="C183" s="103" t="s">
        <v>108</v>
      </c>
      <c r="D183" s="103" t="s">
        <v>220</v>
      </c>
      <c r="E183" s="138">
        <v>35</v>
      </c>
      <c r="F183" s="138">
        <v>35</v>
      </c>
      <c r="G183" s="138">
        <v>35</v>
      </c>
      <c r="H183" s="146">
        <v>1435</v>
      </c>
      <c r="I183" s="146">
        <v>1435</v>
      </c>
      <c r="J183" s="147">
        <v>1435</v>
      </c>
      <c r="L183" s="199"/>
      <c r="M183" s="200"/>
      <c r="P183" s="199"/>
    </row>
    <row r="184" spans="1:16" ht="63.75" x14ac:dyDescent="0.2">
      <c r="A184" s="182" t="s">
        <v>622</v>
      </c>
      <c r="B184" s="183" t="s">
        <v>623</v>
      </c>
      <c r="C184" s="103" t="s">
        <v>108</v>
      </c>
      <c r="D184" s="103" t="s">
        <v>220</v>
      </c>
      <c r="E184" s="138">
        <v>143</v>
      </c>
      <c r="F184" s="138">
        <v>143</v>
      </c>
      <c r="G184" s="138">
        <v>143</v>
      </c>
      <c r="H184" s="146">
        <v>5863</v>
      </c>
      <c r="I184" s="146">
        <v>5863</v>
      </c>
      <c r="J184" s="147">
        <v>5863</v>
      </c>
      <c r="L184" s="199"/>
      <c r="M184" s="200"/>
      <c r="P184" s="199"/>
    </row>
    <row r="185" spans="1:16" ht="51" x14ac:dyDescent="0.2">
      <c r="A185" s="182" t="s">
        <v>624</v>
      </c>
      <c r="B185" s="183" t="s">
        <v>625</v>
      </c>
      <c r="C185" s="103" t="s">
        <v>108</v>
      </c>
      <c r="D185" s="103" t="s">
        <v>220</v>
      </c>
      <c r="E185" s="138">
        <v>119</v>
      </c>
      <c r="F185" s="138">
        <v>119</v>
      </c>
      <c r="G185" s="138">
        <v>119</v>
      </c>
      <c r="H185" s="146">
        <v>5950</v>
      </c>
      <c r="I185" s="146">
        <v>5950</v>
      </c>
      <c r="J185" s="147">
        <v>5950</v>
      </c>
      <c r="L185" s="199"/>
      <c r="M185" s="200"/>
      <c r="P185" s="199"/>
    </row>
    <row r="186" spans="1:16" ht="63.75" x14ac:dyDescent="0.2">
      <c r="A186" s="182" t="s">
        <v>569</v>
      </c>
      <c r="B186" s="183" t="s">
        <v>626</v>
      </c>
      <c r="C186" s="103" t="s">
        <v>108</v>
      </c>
      <c r="D186" s="103" t="s">
        <v>220</v>
      </c>
      <c r="E186" s="138">
        <v>8</v>
      </c>
      <c r="F186" s="138">
        <v>8</v>
      </c>
      <c r="G186" s="138">
        <v>8</v>
      </c>
      <c r="H186" s="146">
        <v>328</v>
      </c>
      <c r="I186" s="146">
        <v>328</v>
      </c>
      <c r="J186" s="147">
        <v>328</v>
      </c>
      <c r="L186" s="199"/>
      <c r="M186" s="200"/>
      <c r="P186" s="199"/>
    </row>
    <row r="187" spans="1:16" ht="63.75" x14ac:dyDescent="0.2">
      <c r="A187" s="182" t="s">
        <v>446</v>
      </c>
      <c r="B187" s="149" t="s">
        <v>627</v>
      </c>
      <c r="C187" s="103" t="s">
        <v>108</v>
      </c>
      <c r="D187" s="103" t="s">
        <v>220</v>
      </c>
      <c r="E187" s="138">
        <v>195</v>
      </c>
      <c r="F187" s="138">
        <v>195</v>
      </c>
      <c r="G187" s="138">
        <v>195</v>
      </c>
      <c r="H187" s="146">
        <v>7995</v>
      </c>
      <c r="I187" s="146">
        <v>7995</v>
      </c>
      <c r="J187" s="147">
        <v>7995</v>
      </c>
      <c r="L187" s="199"/>
      <c r="M187" s="200"/>
      <c r="P187" s="199"/>
    </row>
    <row r="188" spans="1:16" ht="63.75" x14ac:dyDescent="0.2">
      <c r="A188" s="182" t="s">
        <v>446</v>
      </c>
      <c r="B188" s="149" t="s">
        <v>628</v>
      </c>
      <c r="C188" s="103" t="s">
        <v>108</v>
      </c>
      <c r="D188" s="103" t="s">
        <v>220</v>
      </c>
      <c r="E188" s="138">
        <v>9</v>
      </c>
      <c r="F188" s="138">
        <v>9</v>
      </c>
      <c r="G188" s="138">
        <v>9</v>
      </c>
      <c r="H188" s="146">
        <v>369</v>
      </c>
      <c r="I188" s="146">
        <v>369</v>
      </c>
      <c r="J188" s="147">
        <v>369</v>
      </c>
      <c r="L188" s="199"/>
      <c r="M188" s="200"/>
      <c r="P188" s="199"/>
    </row>
    <row r="189" spans="1:16" ht="76.5" x14ac:dyDescent="0.2">
      <c r="A189" s="182" t="s">
        <v>446</v>
      </c>
      <c r="B189" s="149" t="s">
        <v>629</v>
      </c>
      <c r="C189" s="103" t="s">
        <v>108</v>
      </c>
      <c r="D189" s="103" t="s">
        <v>220</v>
      </c>
      <c r="E189" s="138">
        <v>12</v>
      </c>
      <c r="F189" s="138">
        <v>12</v>
      </c>
      <c r="G189" s="138">
        <v>12</v>
      </c>
      <c r="H189" s="146">
        <v>492</v>
      </c>
      <c r="I189" s="146">
        <v>492</v>
      </c>
      <c r="J189" s="147">
        <v>492</v>
      </c>
      <c r="L189" s="199"/>
      <c r="M189" s="200"/>
      <c r="P189" s="199"/>
    </row>
    <row r="190" spans="1:16" ht="76.5" x14ac:dyDescent="0.2">
      <c r="A190" s="182" t="s">
        <v>446</v>
      </c>
      <c r="B190" s="149" t="s">
        <v>601</v>
      </c>
      <c r="C190" s="103" t="s">
        <v>108</v>
      </c>
      <c r="D190" s="103" t="s">
        <v>220</v>
      </c>
      <c r="E190" s="138">
        <v>28</v>
      </c>
      <c r="F190" s="138">
        <v>28</v>
      </c>
      <c r="G190" s="138">
        <v>28</v>
      </c>
      <c r="H190" s="146">
        <v>1148</v>
      </c>
      <c r="I190" s="146">
        <v>1148</v>
      </c>
      <c r="J190" s="147">
        <v>1148</v>
      </c>
      <c r="L190" s="199"/>
      <c r="M190" s="200"/>
      <c r="P190" s="199"/>
    </row>
    <row r="191" spans="1:16" ht="63.75" x14ac:dyDescent="0.2">
      <c r="A191" s="182" t="s">
        <v>602</v>
      </c>
      <c r="B191" s="149" t="s">
        <v>630</v>
      </c>
      <c r="C191" s="103" t="s">
        <v>108</v>
      </c>
      <c r="D191" s="103" t="s">
        <v>220</v>
      </c>
      <c r="E191" s="138">
        <v>26</v>
      </c>
      <c r="F191" s="138">
        <v>26</v>
      </c>
      <c r="G191" s="138">
        <v>26</v>
      </c>
      <c r="H191" s="146">
        <v>1066</v>
      </c>
      <c r="I191" s="146">
        <v>1066</v>
      </c>
      <c r="J191" s="147">
        <v>1066</v>
      </c>
      <c r="L191" s="199"/>
      <c r="M191" s="200"/>
      <c r="P191" s="199"/>
    </row>
    <row r="192" spans="1:16" ht="51" x14ac:dyDescent="0.2">
      <c r="A192" s="182" t="s">
        <v>602</v>
      </c>
      <c r="B192" s="149" t="s">
        <v>631</v>
      </c>
      <c r="C192" s="103" t="s">
        <v>108</v>
      </c>
      <c r="D192" s="103" t="s">
        <v>220</v>
      </c>
      <c r="E192" s="138">
        <v>105</v>
      </c>
      <c r="F192" s="138">
        <v>105</v>
      </c>
      <c r="G192" s="138">
        <v>105</v>
      </c>
      <c r="H192" s="146">
        <v>4305</v>
      </c>
      <c r="I192" s="146">
        <v>4305</v>
      </c>
      <c r="J192" s="147">
        <v>4305</v>
      </c>
      <c r="L192" s="199"/>
      <c r="M192" s="200"/>
      <c r="P192" s="199"/>
    </row>
    <row r="193" spans="1:16" ht="63.75" x14ac:dyDescent="0.2">
      <c r="A193" s="182" t="s">
        <v>602</v>
      </c>
      <c r="B193" s="149" t="s">
        <v>603</v>
      </c>
      <c r="C193" s="103" t="s">
        <v>108</v>
      </c>
      <c r="D193" s="103" t="s">
        <v>220</v>
      </c>
      <c r="E193" s="138">
        <v>37</v>
      </c>
      <c r="F193" s="138">
        <v>37</v>
      </c>
      <c r="G193" s="138">
        <v>37</v>
      </c>
      <c r="H193" s="146">
        <v>1517</v>
      </c>
      <c r="I193" s="146">
        <v>1517</v>
      </c>
      <c r="J193" s="147">
        <v>1517</v>
      </c>
      <c r="L193" s="199"/>
      <c r="M193" s="200"/>
      <c r="P193" s="199"/>
    </row>
    <row r="194" spans="1:16" ht="63.75" x14ac:dyDescent="0.2">
      <c r="A194" s="182" t="s">
        <v>632</v>
      </c>
      <c r="B194" s="149" t="s">
        <v>633</v>
      </c>
      <c r="C194" s="103" t="s">
        <v>108</v>
      </c>
      <c r="D194" s="103" t="s">
        <v>220</v>
      </c>
      <c r="E194" s="138">
        <v>8</v>
      </c>
      <c r="F194" s="138">
        <v>8</v>
      </c>
      <c r="G194" s="138">
        <v>8</v>
      </c>
      <c r="H194" s="146">
        <v>328</v>
      </c>
      <c r="I194" s="146">
        <v>328</v>
      </c>
      <c r="J194" s="147">
        <v>328</v>
      </c>
      <c r="L194" s="199"/>
      <c r="M194" s="200"/>
      <c r="P194" s="199"/>
    </row>
    <row r="195" spans="1:16" ht="63.75" x14ac:dyDescent="0.2">
      <c r="A195" s="182" t="s">
        <v>604</v>
      </c>
      <c r="B195" s="169" t="s">
        <v>605</v>
      </c>
      <c r="C195" s="103" t="s">
        <v>108</v>
      </c>
      <c r="D195" s="103" t="s">
        <v>220</v>
      </c>
      <c r="E195" s="138">
        <v>25</v>
      </c>
      <c r="F195" s="138">
        <v>25</v>
      </c>
      <c r="G195" s="138">
        <v>25</v>
      </c>
      <c r="H195" s="146">
        <v>1025</v>
      </c>
      <c r="I195" s="146">
        <v>1025</v>
      </c>
      <c r="J195" s="147">
        <v>1025</v>
      </c>
      <c r="L195" s="199"/>
      <c r="M195" s="200"/>
      <c r="P195" s="199"/>
    </row>
    <row r="196" spans="1:16" ht="63.75" x14ac:dyDescent="0.2">
      <c r="A196" s="182" t="s">
        <v>634</v>
      </c>
      <c r="B196" s="149" t="s">
        <v>635</v>
      </c>
      <c r="C196" s="103" t="s">
        <v>108</v>
      </c>
      <c r="D196" s="103" t="s">
        <v>220</v>
      </c>
      <c r="E196" s="138">
        <v>36</v>
      </c>
      <c r="F196" s="138">
        <v>36</v>
      </c>
      <c r="G196" s="138">
        <v>36</v>
      </c>
      <c r="H196" s="146">
        <v>1476</v>
      </c>
      <c r="I196" s="146">
        <v>1476</v>
      </c>
      <c r="J196" s="147">
        <v>1476</v>
      </c>
      <c r="L196" s="199"/>
      <c r="M196" s="200"/>
      <c r="P196" s="199"/>
    </row>
    <row r="197" spans="1:16" ht="63.75" x14ac:dyDescent="0.2">
      <c r="A197" s="182" t="s">
        <v>634</v>
      </c>
      <c r="B197" s="149" t="s">
        <v>636</v>
      </c>
      <c r="C197" s="103" t="s">
        <v>108</v>
      </c>
      <c r="D197" s="103" t="s">
        <v>220</v>
      </c>
      <c r="E197" s="138">
        <v>25</v>
      </c>
      <c r="F197" s="138">
        <v>25</v>
      </c>
      <c r="G197" s="138">
        <v>25</v>
      </c>
      <c r="H197" s="146">
        <v>1025</v>
      </c>
      <c r="I197" s="146">
        <v>1025</v>
      </c>
      <c r="J197" s="147">
        <v>1025</v>
      </c>
      <c r="L197" s="199"/>
      <c r="M197" s="200"/>
      <c r="P197" s="199"/>
    </row>
    <row r="198" spans="1:16" ht="63.75" x14ac:dyDescent="0.2">
      <c r="A198" s="182" t="s">
        <v>634</v>
      </c>
      <c r="B198" s="149" t="s">
        <v>637</v>
      </c>
      <c r="C198" s="103" t="s">
        <v>108</v>
      </c>
      <c r="D198" s="103" t="s">
        <v>220</v>
      </c>
      <c r="E198" s="138">
        <v>74</v>
      </c>
      <c r="F198" s="138">
        <v>74</v>
      </c>
      <c r="G198" s="138">
        <v>74</v>
      </c>
      <c r="H198" s="146">
        <v>3034</v>
      </c>
      <c r="I198" s="146">
        <v>3034</v>
      </c>
      <c r="J198" s="147">
        <v>3034</v>
      </c>
      <c r="L198" s="199"/>
      <c r="M198" s="200"/>
      <c r="P198" s="199"/>
    </row>
    <row r="199" spans="1:16" ht="63.75" x14ac:dyDescent="0.2">
      <c r="A199" s="182" t="s">
        <v>634</v>
      </c>
      <c r="B199" s="149" t="s">
        <v>638</v>
      </c>
      <c r="C199" s="103" t="s">
        <v>108</v>
      </c>
      <c r="D199" s="103" t="s">
        <v>220</v>
      </c>
      <c r="E199" s="138">
        <v>86</v>
      </c>
      <c r="F199" s="138">
        <v>86</v>
      </c>
      <c r="G199" s="138">
        <v>86</v>
      </c>
      <c r="H199" s="146">
        <v>3526</v>
      </c>
      <c r="I199" s="146">
        <v>3526</v>
      </c>
      <c r="J199" s="147">
        <v>3526</v>
      </c>
      <c r="L199" s="199"/>
      <c r="M199" s="200"/>
      <c r="P199" s="199"/>
    </row>
    <row r="200" spans="1:16" ht="63.75" x14ac:dyDescent="0.2">
      <c r="A200" s="182" t="s">
        <v>608</v>
      </c>
      <c r="B200" s="149" t="s">
        <v>609</v>
      </c>
      <c r="C200" s="103" t="s">
        <v>108</v>
      </c>
      <c r="D200" s="103" t="s">
        <v>220</v>
      </c>
      <c r="E200" s="138">
        <v>74</v>
      </c>
      <c r="F200" s="138">
        <v>74</v>
      </c>
      <c r="G200" s="138">
        <v>74</v>
      </c>
      <c r="H200" s="146">
        <v>3034</v>
      </c>
      <c r="I200" s="146">
        <v>3034</v>
      </c>
      <c r="J200" s="147">
        <v>3034</v>
      </c>
      <c r="L200" s="199"/>
      <c r="M200" s="200"/>
      <c r="P200" s="199"/>
    </row>
    <row r="201" spans="1:16" ht="63.75" x14ac:dyDescent="0.2">
      <c r="A201" s="182" t="s">
        <v>639</v>
      </c>
      <c r="B201" s="192" t="s">
        <v>640</v>
      </c>
      <c r="C201" s="103" t="s">
        <v>108</v>
      </c>
      <c r="D201" s="103" t="s">
        <v>220</v>
      </c>
      <c r="E201" s="138">
        <v>3</v>
      </c>
      <c r="F201" s="138">
        <v>3</v>
      </c>
      <c r="G201" s="138">
        <v>3</v>
      </c>
      <c r="H201" s="146">
        <v>123</v>
      </c>
      <c r="I201" s="146">
        <v>123</v>
      </c>
      <c r="J201" s="147">
        <v>123</v>
      </c>
      <c r="L201" s="199"/>
      <c r="M201" s="200"/>
      <c r="P201" s="199"/>
    </row>
    <row r="202" spans="1:16" ht="63.75" x14ac:dyDescent="0.2">
      <c r="A202" s="182" t="s">
        <v>612</v>
      </c>
      <c r="B202" s="183" t="s">
        <v>613</v>
      </c>
      <c r="C202" s="103" t="s">
        <v>108</v>
      </c>
      <c r="D202" s="103" t="s">
        <v>220</v>
      </c>
      <c r="E202" s="138">
        <v>233</v>
      </c>
      <c r="F202" s="138">
        <v>233</v>
      </c>
      <c r="G202" s="138">
        <v>233</v>
      </c>
      <c r="H202" s="146">
        <v>9553</v>
      </c>
      <c r="I202" s="146">
        <v>9553</v>
      </c>
      <c r="J202" s="147">
        <v>9553</v>
      </c>
      <c r="L202" s="199"/>
      <c r="M202" s="200"/>
      <c r="P202" s="199"/>
    </row>
    <row r="203" spans="1:16" ht="76.5" x14ac:dyDescent="0.2">
      <c r="A203" s="182" t="s">
        <v>612</v>
      </c>
      <c r="B203" s="183" t="s">
        <v>641</v>
      </c>
      <c r="C203" s="103" t="s">
        <v>108</v>
      </c>
      <c r="D203" s="103" t="s">
        <v>220</v>
      </c>
      <c r="E203" s="138">
        <v>122</v>
      </c>
      <c r="F203" s="138">
        <v>122</v>
      </c>
      <c r="G203" s="138">
        <v>122</v>
      </c>
      <c r="H203" s="146">
        <v>5002</v>
      </c>
      <c r="I203" s="146">
        <v>5002</v>
      </c>
      <c r="J203" s="147">
        <v>5002</v>
      </c>
      <c r="L203" s="199"/>
      <c r="M203" s="200"/>
      <c r="P203" s="199"/>
    </row>
    <row r="204" spans="1:16" ht="63.75" x14ac:dyDescent="0.2">
      <c r="A204" s="182" t="s">
        <v>614</v>
      </c>
      <c r="B204" s="183" t="s">
        <v>615</v>
      </c>
      <c r="C204" s="103" t="s">
        <v>108</v>
      </c>
      <c r="D204" s="103" t="s">
        <v>220</v>
      </c>
      <c r="E204" s="138">
        <v>2</v>
      </c>
      <c r="F204" s="138">
        <v>2</v>
      </c>
      <c r="G204" s="138">
        <v>2</v>
      </c>
      <c r="H204" s="146">
        <v>82</v>
      </c>
      <c r="I204" s="146">
        <v>82</v>
      </c>
      <c r="J204" s="147">
        <v>82</v>
      </c>
      <c r="L204" s="199"/>
      <c r="M204" s="200"/>
      <c r="P204" s="199"/>
    </row>
    <row r="205" spans="1:16" ht="63.75" x14ac:dyDescent="0.2">
      <c r="A205" s="182" t="s">
        <v>616</v>
      </c>
      <c r="B205" s="192" t="s">
        <v>642</v>
      </c>
      <c r="C205" s="103" t="s">
        <v>108</v>
      </c>
      <c r="D205" s="103" t="s">
        <v>220</v>
      </c>
      <c r="E205" s="138">
        <v>25</v>
      </c>
      <c r="F205" s="138">
        <v>25</v>
      </c>
      <c r="G205" s="138">
        <v>25</v>
      </c>
      <c r="H205" s="146">
        <v>1025</v>
      </c>
      <c r="I205" s="146">
        <v>1025</v>
      </c>
      <c r="J205" s="147">
        <v>1025</v>
      </c>
      <c r="L205" s="199"/>
      <c r="M205" s="200"/>
      <c r="P205" s="199"/>
    </row>
    <row r="206" spans="1:16" ht="63.75" x14ac:dyDescent="0.2">
      <c r="A206" s="182" t="s">
        <v>616</v>
      </c>
      <c r="B206" s="183" t="s">
        <v>618</v>
      </c>
      <c r="C206" s="103" t="s">
        <v>108</v>
      </c>
      <c r="D206" s="103" t="s">
        <v>220</v>
      </c>
      <c r="E206" s="138">
        <v>84</v>
      </c>
      <c r="F206" s="138">
        <v>84</v>
      </c>
      <c r="G206" s="138">
        <v>84</v>
      </c>
      <c r="H206" s="146">
        <v>3444</v>
      </c>
      <c r="I206" s="146">
        <v>3444</v>
      </c>
      <c r="J206" s="147">
        <v>3444</v>
      </c>
      <c r="L206" s="199"/>
      <c r="M206" s="200"/>
      <c r="P206" s="199"/>
    </row>
    <row r="207" spans="1:16" ht="63.75" x14ac:dyDescent="0.2">
      <c r="A207" s="182" t="s">
        <v>616</v>
      </c>
      <c r="B207" s="183" t="s">
        <v>643</v>
      </c>
      <c r="C207" s="103" t="s">
        <v>108</v>
      </c>
      <c r="D207" s="103" t="s">
        <v>220</v>
      </c>
      <c r="E207" s="138">
        <v>88</v>
      </c>
      <c r="F207" s="138">
        <v>88</v>
      </c>
      <c r="G207" s="138">
        <v>88</v>
      </c>
      <c r="H207" s="146">
        <v>3608</v>
      </c>
      <c r="I207" s="146">
        <v>3608</v>
      </c>
      <c r="J207" s="147">
        <v>3608</v>
      </c>
      <c r="L207" s="199"/>
      <c r="M207" s="200"/>
      <c r="P207" s="199"/>
    </row>
    <row r="208" spans="1:16" ht="63.75" x14ac:dyDescent="0.2">
      <c r="A208" s="182" t="s">
        <v>619</v>
      </c>
      <c r="B208" s="183" t="s">
        <v>620</v>
      </c>
      <c r="C208" s="103" t="s">
        <v>108</v>
      </c>
      <c r="D208" s="103" t="s">
        <v>220</v>
      </c>
      <c r="E208" s="138">
        <v>184</v>
      </c>
      <c r="F208" s="138">
        <v>184</v>
      </c>
      <c r="G208" s="138">
        <v>184</v>
      </c>
      <c r="H208" s="146">
        <v>7544</v>
      </c>
      <c r="I208" s="146">
        <v>7544</v>
      </c>
      <c r="J208" s="147">
        <v>7544</v>
      </c>
      <c r="L208" s="199"/>
      <c r="M208" s="200"/>
      <c r="P208" s="199"/>
    </row>
    <row r="209" spans="1:16" ht="63.75" x14ac:dyDescent="0.2">
      <c r="A209" s="182" t="s">
        <v>619</v>
      </c>
      <c r="B209" s="183" t="s">
        <v>644</v>
      </c>
      <c r="C209" s="103" t="s">
        <v>108</v>
      </c>
      <c r="D209" s="103" t="s">
        <v>220</v>
      </c>
      <c r="E209" s="138">
        <v>41</v>
      </c>
      <c r="F209" s="138">
        <v>41</v>
      </c>
      <c r="G209" s="138">
        <v>41</v>
      </c>
      <c r="H209" s="146">
        <v>1681</v>
      </c>
      <c r="I209" s="146">
        <v>1681</v>
      </c>
      <c r="J209" s="147">
        <v>1681</v>
      </c>
      <c r="L209" s="199"/>
      <c r="M209" s="200"/>
      <c r="P209" s="199"/>
    </row>
    <row r="210" spans="1:16" ht="51" x14ac:dyDescent="0.2">
      <c r="A210" s="182" t="s">
        <v>624</v>
      </c>
      <c r="B210" s="183" t="s">
        <v>625</v>
      </c>
      <c r="C210" s="103" t="s">
        <v>108</v>
      </c>
      <c r="D210" s="103" t="s">
        <v>220</v>
      </c>
      <c r="E210" s="138">
        <v>154</v>
      </c>
      <c r="F210" s="138">
        <v>154</v>
      </c>
      <c r="G210" s="138">
        <v>154</v>
      </c>
      <c r="H210" s="146">
        <v>6622</v>
      </c>
      <c r="I210" s="146">
        <v>6622</v>
      </c>
      <c r="J210" s="147">
        <v>6622</v>
      </c>
      <c r="L210" s="199"/>
      <c r="M210" s="200"/>
      <c r="P210" s="199"/>
    </row>
    <row r="211" spans="1:16" ht="63.75" x14ac:dyDescent="0.2">
      <c r="A211" s="182" t="s">
        <v>624</v>
      </c>
      <c r="B211" s="183" t="s">
        <v>645</v>
      </c>
      <c r="C211" s="103" t="s">
        <v>108</v>
      </c>
      <c r="D211" s="103" t="s">
        <v>220</v>
      </c>
      <c r="E211" s="138">
        <v>8</v>
      </c>
      <c r="F211" s="138">
        <v>8</v>
      </c>
      <c r="G211" s="138">
        <v>8</v>
      </c>
      <c r="H211" s="146">
        <v>344</v>
      </c>
      <c r="I211" s="146">
        <v>344</v>
      </c>
      <c r="J211" s="147">
        <v>344</v>
      </c>
      <c r="L211" s="199"/>
      <c r="M211" s="200"/>
      <c r="P211" s="199"/>
    </row>
    <row r="212" spans="1:16" ht="63.75" x14ac:dyDescent="0.2">
      <c r="A212" s="182" t="s">
        <v>608</v>
      </c>
      <c r="B212" s="149" t="s">
        <v>646</v>
      </c>
      <c r="C212" s="103" t="s">
        <v>108</v>
      </c>
      <c r="D212" s="103" t="s">
        <v>220</v>
      </c>
      <c r="E212" s="138">
        <v>8</v>
      </c>
      <c r="F212" s="138">
        <v>8</v>
      </c>
      <c r="G212" s="138">
        <v>8</v>
      </c>
      <c r="H212" s="146">
        <v>328</v>
      </c>
      <c r="I212" s="146">
        <v>328</v>
      </c>
      <c r="J212" s="147">
        <v>328</v>
      </c>
      <c r="L212" s="199"/>
      <c r="M212" s="200"/>
      <c r="P212" s="199"/>
    </row>
    <row r="213" spans="1:16" ht="63.75" x14ac:dyDescent="0.2">
      <c r="A213" s="182" t="s">
        <v>612</v>
      </c>
      <c r="B213" s="183" t="s">
        <v>613</v>
      </c>
      <c r="C213" s="103" t="s">
        <v>108</v>
      </c>
      <c r="D213" s="103" t="s">
        <v>220</v>
      </c>
      <c r="E213" s="138">
        <v>8</v>
      </c>
      <c r="F213" s="138">
        <v>8</v>
      </c>
      <c r="G213" s="138">
        <v>8</v>
      </c>
      <c r="H213" s="146">
        <v>328</v>
      </c>
      <c r="I213" s="146">
        <v>328</v>
      </c>
      <c r="J213" s="147">
        <v>328</v>
      </c>
      <c r="L213" s="199"/>
      <c r="M213" s="200"/>
      <c r="P213" s="199"/>
    </row>
    <row r="214" spans="1:16" ht="51" x14ac:dyDescent="0.2">
      <c r="A214" s="182" t="s">
        <v>624</v>
      </c>
      <c r="B214" s="183" t="s">
        <v>625</v>
      </c>
      <c r="C214" s="103" t="s">
        <v>108</v>
      </c>
      <c r="D214" s="103" t="s">
        <v>220</v>
      </c>
      <c r="E214" s="138">
        <v>25</v>
      </c>
      <c r="F214" s="138">
        <v>25</v>
      </c>
      <c r="G214" s="138">
        <v>25</v>
      </c>
      <c r="H214" s="146">
        <v>1187.5</v>
      </c>
      <c r="I214" s="146">
        <v>1187.5</v>
      </c>
      <c r="J214" s="147">
        <v>1187.5</v>
      </c>
      <c r="L214" s="199"/>
      <c r="M214" s="200"/>
      <c r="P214" s="199"/>
    </row>
    <row r="215" spans="1:16" ht="51" x14ac:dyDescent="0.2">
      <c r="A215" s="182" t="s">
        <v>647</v>
      </c>
      <c r="B215" s="183" t="s">
        <v>648</v>
      </c>
      <c r="C215" s="103" t="s">
        <v>649</v>
      </c>
      <c r="D215" s="103" t="s">
        <v>332</v>
      </c>
      <c r="E215" s="103">
        <v>354705</v>
      </c>
      <c r="F215" s="103">
        <v>354705</v>
      </c>
      <c r="G215" s="103">
        <v>354705</v>
      </c>
      <c r="H215" s="146">
        <f>14188.2+12</f>
        <v>14200.2</v>
      </c>
      <c r="I215" s="146">
        <f t="shared" ref="I215:J215" si="7">14188.2+12</f>
        <v>14200.2</v>
      </c>
      <c r="J215" s="147">
        <f t="shared" si="7"/>
        <v>14200.2</v>
      </c>
      <c r="L215" s="199"/>
      <c r="M215" s="200"/>
      <c r="P215" s="199"/>
    </row>
    <row r="216" spans="1:16" ht="38.25" x14ac:dyDescent="0.2">
      <c r="A216" s="182" t="s">
        <v>394</v>
      </c>
      <c r="B216" s="183" t="s">
        <v>735</v>
      </c>
      <c r="C216" s="103" t="s">
        <v>108</v>
      </c>
      <c r="D216" s="103" t="s">
        <v>220</v>
      </c>
      <c r="E216" s="189">
        <v>6</v>
      </c>
      <c r="F216" s="189">
        <v>6</v>
      </c>
      <c r="G216" s="189">
        <v>6</v>
      </c>
      <c r="H216" s="155">
        <v>252</v>
      </c>
      <c r="I216" s="155">
        <v>252</v>
      </c>
      <c r="J216" s="156">
        <v>252</v>
      </c>
      <c r="L216" s="199"/>
      <c r="M216" s="200"/>
      <c r="P216" s="199"/>
    </row>
    <row r="217" spans="1:16" ht="38.25" x14ac:dyDescent="0.2">
      <c r="A217" s="182" t="s">
        <v>232</v>
      </c>
      <c r="B217" s="183" t="s">
        <v>736</v>
      </c>
      <c r="C217" s="103" t="s">
        <v>108</v>
      </c>
      <c r="D217" s="103" t="s">
        <v>220</v>
      </c>
      <c r="E217" s="189">
        <v>86</v>
      </c>
      <c r="F217" s="189">
        <v>86</v>
      </c>
      <c r="G217" s="189">
        <v>86</v>
      </c>
      <c r="H217" s="155">
        <v>3698</v>
      </c>
      <c r="I217" s="155">
        <v>3698</v>
      </c>
      <c r="J217" s="156">
        <v>3698</v>
      </c>
      <c r="L217" s="199"/>
      <c r="M217" s="200"/>
      <c r="P217" s="199"/>
    </row>
    <row r="218" spans="1:16" ht="26.25" thickBot="1" x14ac:dyDescent="0.25">
      <c r="A218" s="182" t="s">
        <v>239</v>
      </c>
      <c r="B218" s="183" t="s">
        <v>737</v>
      </c>
      <c r="C218" s="103" t="s">
        <v>108</v>
      </c>
      <c r="D218" s="103" t="s">
        <v>220</v>
      </c>
      <c r="E218" s="138">
        <v>490</v>
      </c>
      <c r="F218" s="138">
        <v>490</v>
      </c>
      <c r="G218" s="138">
        <v>490</v>
      </c>
      <c r="H218" s="146">
        <v>21560</v>
      </c>
      <c r="I218" s="146">
        <v>21560</v>
      </c>
      <c r="J218" s="147">
        <v>21560</v>
      </c>
      <c r="L218" s="199"/>
      <c r="M218" s="200"/>
      <c r="P218" s="199"/>
    </row>
    <row r="219" spans="1:16" ht="38.25" x14ac:dyDescent="0.2">
      <c r="A219" s="179" t="s">
        <v>650</v>
      </c>
      <c r="B219" s="158" t="s">
        <v>651</v>
      </c>
      <c r="C219" s="159" t="s">
        <v>108</v>
      </c>
      <c r="D219" s="193" t="s">
        <v>339</v>
      </c>
      <c r="E219" s="193">
        <v>14</v>
      </c>
      <c r="F219" s="193">
        <v>14</v>
      </c>
      <c r="G219" s="193">
        <v>14</v>
      </c>
      <c r="H219" s="181">
        <v>1126.1879999999999</v>
      </c>
      <c r="I219" s="181">
        <v>1126.1879999999999</v>
      </c>
      <c r="J219" s="194">
        <v>1126.1879999999999</v>
      </c>
      <c r="K219" s="204"/>
      <c r="M219" s="199"/>
      <c r="N219" s="205"/>
    </row>
    <row r="220" spans="1:16" ht="38.25" x14ac:dyDescent="0.2">
      <c r="A220" s="182" t="s">
        <v>650</v>
      </c>
      <c r="B220" s="149" t="s">
        <v>652</v>
      </c>
      <c r="C220" s="103" t="s">
        <v>108</v>
      </c>
      <c r="D220" s="145" t="s">
        <v>339</v>
      </c>
      <c r="E220" s="145">
        <v>169</v>
      </c>
      <c r="F220" s="145">
        <v>167</v>
      </c>
      <c r="G220" s="145">
        <v>167</v>
      </c>
      <c r="H220" s="146">
        <v>13594.697999999999</v>
      </c>
      <c r="I220" s="146">
        <v>13433.813999999998</v>
      </c>
      <c r="J220" s="147">
        <v>12003.85</v>
      </c>
    </row>
    <row r="221" spans="1:16" ht="38.25" x14ac:dyDescent="0.2">
      <c r="A221" s="182" t="s">
        <v>650</v>
      </c>
      <c r="B221" s="149" t="s">
        <v>653</v>
      </c>
      <c r="C221" s="103" t="s">
        <v>108</v>
      </c>
      <c r="D221" s="145" t="s">
        <v>339</v>
      </c>
      <c r="E221" s="145">
        <v>2</v>
      </c>
      <c r="F221" s="145">
        <v>2</v>
      </c>
      <c r="G221" s="145">
        <v>2</v>
      </c>
      <c r="H221" s="146">
        <v>160.88399999999999</v>
      </c>
      <c r="I221" s="146">
        <v>160.88399999999999</v>
      </c>
      <c r="J221" s="147">
        <v>160.88399999999999</v>
      </c>
      <c r="N221" s="199"/>
    </row>
    <row r="222" spans="1:16" ht="38.25" x14ac:dyDescent="0.2">
      <c r="A222" s="182" t="s">
        <v>650</v>
      </c>
      <c r="B222" s="149" t="s">
        <v>654</v>
      </c>
      <c r="C222" s="103" t="s">
        <v>108</v>
      </c>
      <c r="D222" s="145" t="s">
        <v>339</v>
      </c>
      <c r="E222" s="145">
        <v>80</v>
      </c>
      <c r="F222" s="145">
        <v>82</v>
      </c>
      <c r="G222" s="145">
        <v>82</v>
      </c>
      <c r="H222" s="146">
        <v>5789.31</v>
      </c>
      <c r="I222" s="146">
        <v>6596.2439999999997</v>
      </c>
      <c r="J222" s="147">
        <v>6596.2439999999997</v>
      </c>
    </row>
    <row r="223" spans="1:16" ht="38.25" x14ac:dyDescent="0.2">
      <c r="A223" s="182" t="s">
        <v>650</v>
      </c>
      <c r="B223" s="149" t="s">
        <v>655</v>
      </c>
      <c r="C223" s="103" t="s">
        <v>656</v>
      </c>
      <c r="D223" s="145" t="s">
        <v>339</v>
      </c>
      <c r="E223" s="145">
        <v>8</v>
      </c>
      <c r="F223" s="145">
        <v>8</v>
      </c>
      <c r="G223" s="145">
        <v>8</v>
      </c>
      <c r="H223" s="146">
        <v>643.53599999999994</v>
      </c>
      <c r="I223" s="146">
        <v>643.53599999999994</v>
      </c>
      <c r="J223" s="147">
        <v>643.53599999999994</v>
      </c>
    </row>
    <row r="224" spans="1:16" ht="25.5" x14ac:dyDescent="0.2">
      <c r="A224" s="182" t="s">
        <v>657</v>
      </c>
      <c r="B224" s="149" t="s">
        <v>658</v>
      </c>
      <c r="C224" s="103" t="s">
        <v>108</v>
      </c>
      <c r="D224" s="145" t="s">
        <v>339</v>
      </c>
      <c r="E224" s="145">
        <v>55</v>
      </c>
      <c r="F224" s="145">
        <v>57</v>
      </c>
      <c r="G224" s="145">
        <v>57</v>
      </c>
      <c r="H224" s="146">
        <v>6241.4000000000005</v>
      </c>
      <c r="I224" s="146">
        <v>6468.3600000000006</v>
      </c>
      <c r="J224" s="147">
        <v>6468.3600000000006</v>
      </c>
    </row>
    <row r="225" spans="1:10" ht="25.5" x14ac:dyDescent="0.2">
      <c r="A225" s="182" t="s">
        <v>659</v>
      </c>
      <c r="B225" s="149" t="s">
        <v>660</v>
      </c>
      <c r="C225" s="103" t="s">
        <v>108</v>
      </c>
      <c r="D225" s="145" t="s">
        <v>339</v>
      </c>
      <c r="E225" s="145">
        <v>23</v>
      </c>
      <c r="F225" s="145">
        <v>23</v>
      </c>
      <c r="G225" s="145">
        <v>22</v>
      </c>
      <c r="H225" s="146">
        <v>2610.04</v>
      </c>
      <c r="I225" s="146">
        <v>2610.04</v>
      </c>
      <c r="J225" s="147">
        <v>2496.56</v>
      </c>
    </row>
    <row r="226" spans="1:10" ht="38.25" x14ac:dyDescent="0.2">
      <c r="A226" s="182" t="s">
        <v>394</v>
      </c>
      <c r="B226" s="149" t="s">
        <v>661</v>
      </c>
      <c r="C226" s="103" t="s">
        <v>108</v>
      </c>
      <c r="D226" s="145" t="s">
        <v>339</v>
      </c>
      <c r="E226" s="145">
        <v>363</v>
      </c>
      <c r="F226" s="145">
        <v>362</v>
      </c>
      <c r="G226" s="145">
        <v>362</v>
      </c>
      <c r="H226" s="146">
        <v>41193.24</v>
      </c>
      <c r="I226" s="146">
        <v>41079.760000000002</v>
      </c>
      <c r="J226" s="147">
        <v>40079.760000000002</v>
      </c>
    </row>
    <row r="227" spans="1:10" ht="38.25" x14ac:dyDescent="0.2">
      <c r="A227" s="182" t="s">
        <v>394</v>
      </c>
      <c r="B227" s="149" t="s">
        <v>662</v>
      </c>
      <c r="C227" s="103" t="s">
        <v>108</v>
      </c>
      <c r="D227" s="145" t="s">
        <v>339</v>
      </c>
      <c r="E227" s="145">
        <v>266</v>
      </c>
      <c r="F227" s="145">
        <v>242</v>
      </c>
      <c r="G227" s="145">
        <v>202</v>
      </c>
      <c r="H227" s="146">
        <v>23328.732</v>
      </c>
      <c r="I227" s="146">
        <v>21223.883999999998</v>
      </c>
      <c r="J227" s="147">
        <v>14715.8</v>
      </c>
    </row>
    <row r="228" spans="1:10" ht="38.25" x14ac:dyDescent="0.2">
      <c r="A228" s="182" t="s">
        <v>394</v>
      </c>
      <c r="B228" s="149" t="s">
        <v>663</v>
      </c>
      <c r="C228" s="103" t="s">
        <v>108</v>
      </c>
      <c r="D228" s="145" t="s">
        <v>339</v>
      </c>
      <c r="E228" s="145">
        <f>45+6</f>
        <v>51</v>
      </c>
      <c r="F228" s="145">
        <f>45+8</f>
        <v>53</v>
      </c>
      <c r="G228" s="145">
        <f>44+8</f>
        <v>52</v>
      </c>
      <c r="H228" s="146">
        <f>3946.59+526.21</f>
        <v>4472.8</v>
      </c>
      <c r="I228" s="146">
        <f>3946.59+701.62</f>
        <v>4648.21</v>
      </c>
      <c r="J228" s="147">
        <f>2588.5+701.62</f>
        <v>3290.12</v>
      </c>
    </row>
    <row r="229" spans="1:10" ht="51" x14ac:dyDescent="0.2">
      <c r="A229" s="182" t="s">
        <v>664</v>
      </c>
      <c r="B229" s="149" t="s">
        <v>665</v>
      </c>
      <c r="C229" s="103" t="s">
        <v>108</v>
      </c>
      <c r="D229" s="145" t="s">
        <v>339</v>
      </c>
      <c r="E229" s="145">
        <v>26</v>
      </c>
      <c r="F229" s="145">
        <v>26</v>
      </c>
      <c r="G229" s="145">
        <v>28</v>
      </c>
      <c r="H229" s="146">
        <v>2280.252</v>
      </c>
      <c r="I229" s="146">
        <v>2280.252</v>
      </c>
      <c r="J229" s="147">
        <v>2355.6</v>
      </c>
    </row>
    <row r="230" spans="1:10" ht="51" x14ac:dyDescent="0.2">
      <c r="A230" s="182" t="s">
        <v>394</v>
      </c>
      <c r="B230" s="149" t="s">
        <v>666</v>
      </c>
      <c r="C230" s="103" t="s">
        <v>108</v>
      </c>
      <c r="D230" s="145" t="s">
        <v>339</v>
      </c>
      <c r="E230" s="145">
        <v>1</v>
      </c>
      <c r="F230" s="145">
        <v>1</v>
      </c>
      <c r="G230" s="145">
        <v>1</v>
      </c>
      <c r="H230" s="146">
        <v>87.701999999999998</v>
      </c>
      <c r="I230" s="146">
        <v>87.701999999999998</v>
      </c>
      <c r="J230" s="147">
        <v>87.701999999999998</v>
      </c>
    </row>
    <row r="231" spans="1:10" ht="38.25" x14ac:dyDescent="0.2">
      <c r="A231" s="182" t="s">
        <v>667</v>
      </c>
      <c r="B231" s="149" t="s">
        <v>668</v>
      </c>
      <c r="C231" s="103" t="s">
        <v>108</v>
      </c>
      <c r="D231" s="145" t="s">
        <v>339</v>
      </c>
      <c r="E231" s="145">
        <v>3</v>
      </c>
      <c r="F231" s="145">
        <v>3</v>
      </c>
      <c r="G231" s="145">
        <v>3</v>
      </c>
      <c r="H231" s="146">
        <v>311.14799999999997</v>
      </c>
      <c r="I231" s="146">
        <v>311.14799999999997</v>
      </c>
      <c r="J231" s="147">
        <v>311.14799999999997</v>
      </c>
    </row>
    <row r="232" spans="1:10" ht="51" x14ac:dyDescent="0.2">
      <c r="A232" s="182" t="s">
        <v>667</v>
      </c>
      <c r="B232" s="149" t="s">
        <v>669</v>
      </c>
      <c r="C232" s="103" t="s">
        <v>108</v>
      </c>
      <c r="D232" s="145" t="s">
        <v>339</v>
      </c>
      <c r="E232" s="145">
        <v>12</v>
      </c>
      <c r="F232" s="145">
        <v>12</v>
      </c>
      <c r="G232" s="145">
        <v>13</v>
      </c>
      <c r="H232" s="146">
        <v>1244.5919999999999</v>
      </c>
      <c r="I232" s="146">
        <v>1244.5919999999999</v>
      </c>
      <c r="J232" s="147">
        <v>1348.308</v>
      </c>
    </row>
    <row r="233" spans="1:10" ht="38.25" x14ac:dyDescent="0.2">
      <c r="A233" s="182" t="s">
        <v>667</v>
      </c>
      <c r="B233" s="149" t="s">
        <v>670</v>
      </c>
      <c r="C233" s="103" t="s">
        <v>108</v>
      </c>
      <c r="D233" s="145" t="s">
        <v>339</v>
      </c>
      <c r="E233" s="145">
        <v>6</v>
      </c>
      <c r="F233" s="145">
        <v>9</v>
      </c>
      <c r="G233" s="145">
        <v>12</v>
      </c>
      <c r="H233" s="146">
        <v>622.29599999999994</v>
      </c>
      <c r="I233" s="146">
        <v>933.44399999999996</v>
      </c>
      <c r="J233" s="147">
        <v>1244.5919999999999</v>
      </c>
    </row>
    <row r="234" spans="1:10" ht="38.25" x14ac:dyDescent="0.2">
      <c r="A234" s="182" t="s">
        <v>667</v>
      </c>
      <c r="B234" s="149" t="s">
        <v>671</v>
      </c>
      <c r="C234" s="103" t="s">
        <v>108</v>
      </c>
      <c r="D234" s="145" t="s">
        <v>339</v>
      </c>
      <c r="E234" s="145">
        <v>30</v>
      </c>
      <c r="F234" s="145">
        <v>39</v>
      </c>
      <c r="G234" s="145">
        <v>48</v>
      </c>
      <c r="H234" s="146">
        <v>3111.48</v>
      </c>
      <c r="I234" s="146">
        <v>4044.924</v>
      </c>
      <c r="J234" s="147">
        <v>4978.3679999999995</v>
      </c>
    </row>
    <row r="235" spans="1:10" ht="51" x14ac:dyDescent="0.2">
      <c r="A235" s="182" t="s">
        <v>667</v>
      </c>
      <c r="B235" s="149" t="s">
        <v>672</v>
      </c>
      <c r="C235" s="103" t="s">
        <v>108</v>
      </c>
      <c r="D235" s="145" t="s">
        <v>339</v>
      </c>
      <c r="E235" s="145">
        <v>66</v>
      </c>
      <c r="F235" s="145">
        <v>94</v>
      </c>
      <c r="G235" s="145">
        <v>134</v>
      </c>
      <c r="H235" s="146">
        <v>6845.2559999999994</v>
      </c>
      <c r="I235" s="146">
        <v>9749.3040000000001</v>
      </c>
      <c r="J235" s="147">
        <v>13897.944</v>
      </c>
    </row>
    <row r="236" spans="1:10" ht="38.25" x14ac:dyDescent="0.2">
      <c r="A236" s="182" t="s">
        <v>667</v>
      </c>
      <c r="B236" s="149" t="s">
        <v>673</v>
      </c>
      <c r="C236" s="103" t="s">
        <v>108</v>
      </c>
      <c r="D236" s="145" t="s">
        <v>339</v>
      </c>
      <c r="E236" s="145">
        <v>10</v>
      </c>
      <c r="F236" s="145">
        <v>15</v>
      </c>
      <c r="G236" s="145">
        <v>15</v>
      </c>
      <c r="H236" s="146">
        <v>1037.1599999999999</v>
      </c>
      <c r="I236" s="146">
        <v>1555.74</v>
      </c>
      <c r="J236" s="147">
        <v>1555.74</v>
      </c>
    </row>
    <row r="237" spans="1:10" ht="38.25" x14ac:dyDescent="0.2">
      <c r="A237" s="182" t="s">
        <v>232</v>
      </c>
      <c r="B237" s="149" t="s">
        <v>674</v>
      </c>
      <c r="C237" s="103" t="s">
        <v>108</v>
      </c>
      <c r="D237" s="145" t="s">
        <v>339</v>
      </c>
      <c r="E237" s="145">
        <v>222</v>
      </c>
      <c r="F237" s="145">
        <v>227</v>
      </c>
      <c r="G237" s="145">
        <v>222</v>
      </c>
      <c r="H237" s="146">
        <v>20849.796000000002</v>
      </c>
      <c r="I237" s="146">
        <v>21319.386000000002</v>
      </c>
      <c r="J237" s="147">
        <v>20849.796000000002</v>
      </c>
    </row>
    <row r="238" spans="1:10" ht="38.25" x14ac:dyDescent="0.2">
      <c r="A238" s="182" t="s">
        <v>232</v>
      </c>
      <c r="B238" s="149" t="s">
        <v>675</v>
      </c>
      <c r="C238" s="103" t="s">
        <v>108</v>
      </c>
      <c r="D238" s="145" t="s">
        <v>339</v>
      </c>
      <c r="E238" s="145">
        <v>1</v>
      </c>
      <c r="F238" s="145">
        <v>0</v>
      </c>
      <c r="G238" s="145">
        <v>0</v>
      </c>
      <c r="H238" s="146">
        <v>93.918000000000006</v>
      </c>
      <c r="I238" s="146">
        <v>0</v>
      </c>
      <c r="J238" s="147">
        <v>0</v>
      </c>
    </row>
    <row r="239" spans="1:10" ht="38.25" x14ac:dyDescent="0.2">
      <c r="A239" s="182" t="s">
        <v>232</v>
      </c>
      <c r="B239" s="149" t="s">
        <v>676</v>
      </c>
      <c r="C239" s="103" t="s">
        <v>108</v>
      </c>
      <c r="D239" s="145" t="s">
        <v>339</v>
      </c>
      <c r="E239" s="145">
        <v>707</v>
      </c>
      <c r="F239" s="145">
        <v>692</v>
      </c>
      <c r="G239" s="145">
        <v>713</v>
      </c>
      <c r="H239" s="146">
        <v>66400.025999999998</v>
      </c>
      <c r="I239" s="146">
        <v>64756.04</v>
      </c>
      <c r="J239" s="147">
        <v>66500</v>
      </c>
    </row>
    <row r="240" spans="1:10" ht="38.25" x14ac:dyDescent="0.2">
      <c r="A240" s="182" t="s">
        <v>232</v>
      </c>
      <c r="B240" s="149" t="s">
        <v>677</v>
      </c>
      <c r="C240" s="103" t="s">
        <v>108</v>
      </c>
      <c r="D240" s="145" t="s">
        <v>339</v>
      </c>
      <c r="E240" s="145">
        <v>64</v>
      </c>
      <c r="F240" s="145">
        <v>67</v>
      </c>
      <c r="G240" s="145">
        <v>67</v>
      </c>
      <c r="H240" s="146">
        <v>6010.7520000000004</v>
      </c>
      <c r="I240" s="146">
        <v>6292.5060000000003</v>
      </c>
      <c r="J240" s="147">
        <v>6200</v>
      </c>
    </row>
    <row r="241" spans="1:10" ht="63.75" x14ac:dyDescent="0.2">
      <c r="A241" s="182" t="s">
        <v>678</v>
      </c>
      <c r="B241" s="149" t="s">
        <v>679</v>
      </c>
      <c r="C241" s="103" t="s">
        <v>108</v>
      </c>
      <c r="D241" s="145" t="s">
        <v>339</v>
      </c>
      <c r="E241" s="145">
        <v>3</v>
      </c>
      <c r="F241" s="145">
        <v>3</v>
      </c>
      <c r="G241" s="145">
        <v>3</v>
      </c>
      <c r="H241" s="146">
        <v>281.75400000000002</v>
      </c>
      <c r="I241" s="146">
        <v>281.75400000000002</v>
      </c>
      <c r="J241" s="147">
        <v>281.75400000000002</v>
      </c>
    </row>
    <row r="242" spans="1:10" ht="51" x14ac:dyDescent="0.2">
      <c r="A242" s="182" t="s">
        <v>232</v>
      </c>
      <c r="B242" s="149" t="s">
        <v>680</v>
      </c>
      <c r="C242" s="103" t="s">
        <v>108</v>
      </c>
      <c r="D242" s="145" t="s">
        <v>339</v>
      </c>
      <c r="E242" s="145">
        <v>38</v>
      </c>
      <c r="F242" s="145">
        <v>40</v>
      </c>
      <c r="G242" s="145">
        <v>40</v>
      </c>
      <c r="H242" s="146">
        <v>3568.884</v>
      </c>
      <c r="I242" s="146">
        <v>3756.7200000000003</v>
      </c>
      <c r="J242" s="147">
        <v>3648.2</v>
      </c>
    </row>
    <row r="243" spans="1:10" ht="51" x14ac:dyDescent="0.2">
      <c r="A243" s="182" t="s">
        <v>232</v>
      </c>
      <c r="B243" s="149" t="s">
        <v>681</v>
      </c>
      <c r="C243" s="103" t="s">
        <v>108</v>
      </c>
      <c r="D243" s="145" t="s">
        <v>339</v>
      </c>
      <c r="E243" s="145">
        <v>2</v>
      </c>
      <c r="F243" s="145">
        <v>2</v>
      </c>
      <c r="G243" s="145">
        <v>1</v>
      </c>
      <c r="H243" s="146">
        <v>187.83600000000001</v>
      </c>
      <c r="I243" s="146">
        <v>187.83600000000001</v>
      </c>
      <c r="J243" s="147">
        <v>89.3</v>
      </c>
    </row>
    <row r="244" spans="1:10" ht="38.25" x14ac:dyDescent="0.2">
      <c r="A244" s="182" t="s">
        <v>239</v>
      </c>
      <c r="B244" s="149" t="s">
        <v>682</v>
      </c>
      <c r="C244" s="103" t="s">
        <v>108</v>
      </c>
      <c r="D244" s="145" t="s">
        <v>339</v>
      </c>
      <c r="E244" s="145">
        <v>2</v>
      </c>
      <c r="F244" s="145">
        <v>4</v>
      </c>
      <c r="G244" s="145">
        <v>5</v>
      </c>
      <c r="H244" s="146">
        <v>189.72</v>
      </c>
      <c r="I244" s="146">
        <v>379.44</v>
      </c>
      <c r="J244" s="147">
        <v>474.3</v>
      </c>
    </row>
    <row r="245" spans="1:10" ht="38.25" x14ac:dyDescent="0.2">
      <c r="A245" s="182" t="s">
        <v>239</v>
      </c>
      <c r="B245" s="149" t="s">
        <v>683</v>
      </c>
      <c r="C245" s="103" t="s">
        <v>108</v>
      </c>
      <c r="D245" s="145" t="s">
        <v>339</v>
      </c>
      <c r="E245" s="145">
        <v>18</v>
      </c>
      <c r="F245" s="145">
        <v>19</v>
      </c>
      <c r="G245" s="145">
        <v>29</v>
      </c>
      <c r="H245" s="146">
        <v>1707.48</v>
      </c>
      <c r="I245" s="146">
        <v>1802.34</v>
      </c>
      <c r="J245" s="147">
        <v>2750.94</v>
      </c>
    </row>
    <row r="246" spans="1:10" ht="51" x14ac:dyDescent="0.2">
      <c r="A246" s="182" t="s">
        <v>239</v>
      </c>
      <c r="B246" s="149" t="s">
        <v>684</v>
      </c>
      <c r="C246" s="103" t="s">
        <v>108</v>
      </c>
      <c r="D246" s="145" t="s">
        <v>339</v>
      </c>
      <c r="E246" s="145">
        <v>1</v>
      </c>
      <c r="F246" s="145">
        <v>1</v>
      </c>
      <c r="G246" s="145">
        <v>1</v>
      </c>
      <c r="H246" s="146">
        <v>94.86</v>
      </c>
      <c r="I246" s="146">
        <v>94.86</v>
      </c>
      <c r="J246" s="147">
        <v>90.26</v>
      </c>
    </row>
    <row r="247" spans="1:10" ht="51" x14ac:dyDescent="0.2">
      <c r="A247" s="182" t="s">
        <v>239</v>
      </c>
      <c r="B247" s="149" t="s">
        <v>685</v>
      </c>
      <c r="C247" s="103" t="s">
        <v>108</v>
      </c>
      <c r="D247" s="145" t="s">
        <v>339</v>
      </c>
      <c r="E247" s="145">
        <v>11</v>
      </c>
      <c r="F247" s="145">
        <v>12</v>
      </c>
      <c r="G247" s="145">
        <v>12</v>
      </c>
      <c r="H247" s="146">
        <v>1043.46</v>
      </c>
      <c r="I247" s="146">
        <v>1138.32</v>
      </c>
      <c r="J247" s="147">
        <v>1101.3</v>
      </c>
    </row>
    <row r="248" spans="1:10" ht="25.5" x14ac:dyDescent="0.2">
      <c r="A248" s="182" t="s">
        <v>237</v>
      </c>
      <c r="B248" s="149" t="s">
        <v>686</v>
      </c>
      <c r="C248" s="103" t="s">
        <v>108</v>
      </c>
      <c r="D248" s="145" t="s">
        <v>339</v>
      </c>
      <c r="E248" s="145">
        <v>866</v>
      </c>
      <c r="F248" s="145">
        <v>890</v>
      </c>
      <c r="G248" s="145">
        <v>894</v>
      </c>
      <c r="H248" s="146">
        <v>31000.201999999997</v>
      </c>
      <c r="I248" s="146">
        <v>31859.329999999998</v>
      </c>
      <c r="J248" s="147">
        <v>32002.517999999996</v>
      </c>
    </row>
    <row r="249" spans="1:10" ht="38.25" x14ac:dyDescent="0.2">
      <c r="A249" s="182" t="s">
        <v>687</v>
      </c>
      <c r="B249" s="149" t="s">
        <v>688</v>
      </c>
      <c r="C249" s="103" t="s">
        <v>108</v>
      </c>
      <c r="D249" s="145" t="s">
        <v>339</v>
      </c>
      <c r="E249" s="145">
        <v>2</v>
      </c>
      <c r="F249" s="145">
        <v>2</v>
      </c>
      <c r="G249" s="145">
        <v>2</v>
      </c>
      <c r="H249" s="146">
        <v>162.10400000000001</v>
      </c>
      <c r="I249" s="146">
        <v>162.10400000000001</v>
      </c>
      <c r="J249" s="147">
        <v>162.10400000000001</v>
      </c>
    </row>
    <row r="250" spans="1:10" ht="38.25" x14ac:dyDescent="0.2">
      <c r="A250" s="182" t="s">
        <v>687</v>
      </c>
      <c r="B250" s="149" t="s">
        <v>689</v>
      </c>
      <c r="C250" s="103" t="s">
        <v>108</v>
      </c>
      <c r="D250" s="145" t="s">
        <v>339</v>
      </c>
      <c r="E250" s="145">
        <v>11</v>
      </c>
      <c r="F250" s="145">
        <v>8</v>
      </c>
      <c r="G250" s="145">
        <v>11</v>
      </c>
      <c r="H250" s="146">
        <v>891.57200000000012</v>
      </c>
      <c r="I250" s="146">
        <v>648.41600000000005</v>
      </c>
      <c r="J250" s="147">
        <v>891.57200000000012</v>
      </c>
    </row>
    <row r="251" spans="1:10" ht="38.25" x14ac:dyDescent="0.2">
      <c r="A251" s="182" t="s">
        <v>687</v>
      </c>
      <c r="B251" s="149" t="s">
        <v>690</v>
      </c>
      <c r="C251" s="103" t="s">
        <v>108</v>
      </c>
      <c r="D251" s="145" t="s">
        <v>339</v>
      </c>
      <c r="E251" s="145">
        <f>56+7</f>
        <v>63</v>
      </c>
      <c r="F251" s="145">
        <f>51+10</f>
        <v>61</v>
      </c>
      <c r="G251" s="145">
        <f>63+10</f>
        <v>73</v>
      </c>
      <c r="H251" s="146">
        <f>4538.912+567.36</f>
        <v>5106.2719999999999</v>
      </c>
      <c r="I251" s="146">
        <f>4133.652+810.52</f>
        <v>4944.1720000000005</v>
      </c>
      <c r="J251" s="147">
        <f>5106.276+810.52</f>
        <v>5916.7960000000003</v>
      </c>
    </row>
    <row r="252" spans="1:10" ht="51" x14ac:dyDescent="0.2">
      <c r="A252" s="182" t="s">
        <v>687</v>
      </c>
      <c r="B252" s="149" t="s">
        <v>691</v>
      </c>
      <c r="C252" s="103" t="s">
        <v>108</v>
      </c>
      <c r="D252" s="145" t="s">
        <v>339</v>
      </c>
      <c r="E252" s="145">
        <v>14</v>
      </c>
      <c r="F252" s="145">
        <v>12</v>
      </c>
      <c r="G252" s="145">
        <v>12</v>
      </c>
      <c r="H252" s="146">
        <v>1134.7280000000001</v>
      </c>
      <c r="I252" s="146">
        <v>972.62400000000002</v>
      </c>
      <c r="J252" s="147">
        <v>846.6</v>
      </c>
    </row>
    <row r="253" spans="1:10" ht="25.5" x14ac:dyDescent="0.2">
      <c r="A253" s="182" t="s">
        <v>659</v>
      </c>
      <c r="B253" s="149" t="s">
        <v>692</v>
      </c>
      <c r="C253" s="103" t="s">
        <v>108</v>
      </c>
      <c r="D253" s="145" t="s">
        <v>339</v>
      </c>
      <c r="E253" s="145">
        <f>12+4</f>
        <v>16</v>
      </c>
      <c r="F253" s="145">
        <f t="shared" ref="F253:G253" si="8">12+4</f>
        <v>16</v>
      </c>
      <c r="G253" s="145">
        <f t="shared" si="8"/>
        <v>16</v>
      </c>
      <c r="H253" s="146">
        <f>1719.43520803125+674.32</f>
        <v>2393.7552080312503</v>
      </c>
      <c r="I253" s="146">
        <f t="shared" ref="I253:J253" si="9">1719.43520803125+674.32</f>
        <v>2393.7552080312503</v>
      </c>
      <c r="J253" s="147">
        <f t="shared" si="9"/>
        <v>2393.7552080312503</v>
      </c>
    </row>
    <row r="254" spans="1:10" ht="25.5" x14ac:dyDescent="0.2">
      <c r="A254" s="182" t="s">
        <v>659</v>
      </c>
      <c r="B254" s="149" t="s">
        <v>693</v>
      </c>
      <c r="C254" s="103" t="s">
        <v>108</v>
      </c>
      <c r="D254" s="145" t="s">
        <v>339</v>
      </c>
      <c r="E254" s="145">
        <v>165</v>
      </c>
      <c r="F254" s="145">
        <v>163</v>
      </c>
      <c r="G254" s="145">
        <v>163</v>
      </c>
      <c r="H254" s="146">
        <v>23642.234110429683</v>
      </c>
      <c r="I254" s="146">
        <v>23355.661575757811</v>
      </c>
      <c r="J254" s="147">
        <v>23355.661575757811</v>
      </c>
    </row>
    <row r="255" spans="1:10" x14ac:dyDescent="0.2">
      <c r="A255" s="182" t="s">
        <v>659</v>
      </c>
      <c r="B255" s="149" t="s">
        <v>694</v>
      </c>
      <c r="C255" s="103" t="s">
        <v>108</v>
      </c>
      <c r="D255" s="145" t="s">
        <v>339</v>
      </c>
      <c r="E255" s="145">
        <v>3</v>
      </c>
      <c r="F255" s="145">
        <v>3</v>
      </c>
      <c r="G255" s="145">
        <v>4</v>
      </c>
      <c r="H255" s="146">
        <v>429.85880200781241</v>
      </c>
      <c r="I255" s="146">
        <v>429.85880200781241</v>
      </c>
      <c r="J255" s="147">
        <v>573.14506934374992</v>
      </c>
    </row>
    <row r="256" spans="1:10" x14ac:dyDescent="0.2">
      <c r="A256" s="182" t="s">
        <v>695</v>
      </c>
      <c r="B256" s="149" t="s">
        <v>696</v>
      </c>
      <c r="C256" s="103" t="s">
        <v>108</v>
      </c>
      <c r="D256" s="145" t="s">
        <v>339</v>
      </c>
      <c r="E256" s="145">
        <v>165</v>
      </c>
      <c r="F256" s="145">
        <v>166</v>
      </c>
      <c r="G256" s="145">
        <v>167</v>
      </c>
      <c r="H256" s="146">
        <v>20938.5</v>
      </c>
      <c r="I256" s="146">
        <v>21065.4</v>
      </c>
      <c r="J256" s="147">
        <v>21192.3</v>
      </c>
    </row>
    <row r="257" spans="1:11" x14ac:dyDescent="0.2">
      <c r="A257" s="182" t="s">
        <v>695</v>
      </c>
      <c r="B257" s="149" t="s">
        <v>697</v>
      </c>
      <c r="C257" s="103" t="s">
        <v>108</v>
      </c>
      <c r="D257" s="145" t="s">
        <v>339</v>
      </c>
      <c r="E257" s="145">
        <v>525</v>
      </c>
      <c r="F257" s="145">
        <v>517</v>
      </c>
      <c r="G257" s="145">
        <v>529</v>
      </c>
      <c r="H257" s="146">
        <v>66622.5</v>
      </c>
      <c r="I257" s="146">
        <v>65607.3</v>
      </c>
      <c r="J257" s="147">
        <v>67130.100000000006</v>
      </c>
    </row>
    <row r="258" spans="1:11" ht="25.5" x14ac:dyDescent="0.2">
      <c r="A258" s="182" t="s">
        <v>698</v>
      </c>
      <c r="B258" s="149" t="s">
        <v>699</v>
      </c>
      <c r="C258" s="103" t="s">
        <v>700</v>
      </c>
      <c r="D258" s="145" t="s">
        <v>339</v>
      </c>
      <c r="E258" s="145">
        <v>24</v>
      </c>
      <c r="F258" s="145">
        <v>14</v>
      </c>
      <c r="G258" s="145">
        <v>14</v>
      </c>
      <c r="H258" s="146">
        <v>536.16</v>
      </c>
      <c r="I258" s="146">
        <v>312.76</v>
      </c>
      <c r="J258" s="147">
        <v>300.39999999999998</v>
      </c>
    </row>
    <row r="259" spans="1:11" ht="38.25" x14ac:dyDescent="0.2">
      <c r="A259" s="182" t="s">
        <v>701</v>
      </c>
      <c r="B259" s="149" t="s">
        <v>702</v>
      </c>
      <c r="C259" s="103" t="s">
        <v>703</v>
      </c>
      <c r="D259" s="145" t="s">
        <v>339</v>
      </c>
      <c r="E259" s="145">
        <v>24</v>
      </c>
      <c r="F259" s="145">
        <v>14</v>
      </c>
      <c r="G259" s="145">
        <v>14</v>
      </c>
      <c r="H259" s="146">
        <v>2872.56</v>
      </c>
      <c r="I259" s="146">
        <v>1675.6599999999999</v>
      </c>
      <c r="J259" s="147">
        <v>1549.6</v>
      </c>
    </row>
    <row r="260" spans="1:11" ht="38.25" x14ac:dyDescent="0.2">
      <c r="A260" s="182" t="s">
        <v>704</v>
      </c>
      <c r="B260" s="149" t="s">
        <v>705</v>
      </c>
      <c r="C260" s="103" t="s">
        <v>703</v>
      </c>
      <c r="D260" s="145" t="s">
        <v>339</v>
      </c>
      <c r="E260" s="145">
        <v>24</v>
      </c>
      <c r="F260" s="145">
        <v>14</v>
      </c>
      <c r="G260" s="145">
        <v>14</v>
      </c>
      <c r="H260" s="146">
        <v>1056.7439999999999</v>
      </c>
      <c r="I260" s="146">
        <v>616.43399999999997</v>
      </c>
      <c r="J260" s="147">
        <v>594.29999999999995</v>
      </c>
    </row>
    <row r="261" spans="1:11" ht="26.25" thickBot="1" x14ac:dyDescent="0.25">
      <c r="A261" s="184" t="s">
        <v>706</v>
      </c>
      <c r="B261" s="195" t="s">
        <v>707</v>
      </c>
      <c r="C261" s="186" t="s">
        <v>700</v>
      </c>
      <c r="D261" s="196" t="s">
        <v>339</v>
      </c>
      <c r="E261" s="196">
        <v>20</v>
      </c>
      <c r="F261" s="196">
        <v>10</v>
      </c>
      <c r="G261" s="196">
        <v>10</v>
      </c>
      <c r="H261" s="187">
        <v>668.6</v>
      </c>
      <c r="I261" s="187">
        <v>334.3</v>
      </c>
      <c r="J261" s="197">
        <v>329.6</v>
      </c>
    </row>
    <row r="262" spans="1:11" ht="76.5" x14ac:dyDescent="0.2">
      <c r="A262" s="179" t="s">
        <v>701</v>
      </c>
      <c r="B262" s="158" t="s">
        <v>708</v>
      </c>
      <c r="C262" s="159" t="s">
        <v>709</v>
      </c>
      <c r="D262" s="193" t="s">
        <v>339</v>
      </c>
      <c r="E262" s="193">
        <v>38</v>
      </c>
      <c r="F262" s="193">
        <v>42</v>
      </c>
      <c r="G262" s="193">
        <v>40</v>
      </c>
      <c r="H262" s="181">
        <v>9668.2624496000008</v>
      </c>
      <c r="I262" s="181">
        <v>10126.299999999999</v>
      </c>
      <c r="J262" s="194">
        <v>10177.118367999999</v>
      </c>
      <c r="K262" s="204"/>
    </row>
    <row r="263" spans="1:11" ht="76.5" x14ac:dyDescent="0.2">
      <c r="A263" s="182" t="s">
        <v>701</v>
      </c>
      <c r="B263" s="149" t="s">
        <v>708</v>
      </c>
      <c r="C263" s="103" t="s">
        <v>710</v>
      </c>
      <c r="D263" s="145" t="s">
        <v>339</v>
      </c>
      <c r="E263" s="145">
        <v>20</v>
      </c>
      <c r="F263" s="145">
        <v>21</v>
      </c>
      <c r="G263" s="145">
        <v>21</v>
      </c>
      <c r="H263" s="146">
        <v>5677.23</v>
      </c>
      <c r="I263" s="146">
        <v>5078.91</v>
      </c>
      <c r="J263" s="147">
        <v>5347.83</v>
      </c>
    </row>
    <row r="264" spans="1:11" ht="63.75" x14ac:dyDescent="0.2">
      <c r="A264" s="182" t="s">
        <v>381</v>
      </c>
      <c r="B264" s="149" t="s">
        <v>711</v>
      </c>
      <c r="C264" s="103" t="s">
        <v>712</v>
      </c>
      <c r="D264" s="145" t="s">
        <v>339</v>
      </c>
      <c r="E264" s="145">
        <v>129</v>
      </c>
      <c r="F264" s="145">
        <v>120</v>
      </c>
      <c r="G264" s="145">
        <v>112</v>
      </c>
      <c r="H264" s="146">
        <v>1890.7668288</v>
      </c>
      <c r="I264" s="146">
        <v>1758.852864</v>
      </c>
      <c r="J264" s="147">
        <v>1641.5960064000001</v>
      </c>
    </row>
    <row r="265" spans="1:11" ht="38.25" x14ac:dyDescent="0.2">
      <c r="A265" s="182" t="s">
        <v>704</v>
      </c>
      <c r="B265" s="149" t="s">
        <v>713</v>
      </c>
      <c r="C265" s="103" t="s">
        <v>714</v>
      </c>
      <c r="D265" s="145" t="s">
        <v>339</v>
      </c>
      <c r="E265" s="145">
        <v>38</v>
      </c>
      <c r="F265" s="145">
        <v>42</v>
      </c>
      <c r="G265" s="145">
        <v>40</v>
      </c>
      <c r="H265" s="146">
        <v>1200.9379476000001</v>
      </c>
      <c r="I265" s="146">
        <v>1327.3524684000001</v>
      </c>
      <c r="J265" s="147">
        <v>1264.1452080000001</v>
      </c>
    </row>
    <row r="266" spans="1:11" ht="38.25" x14ac:dyDescent="0.2">
      <c r="A266" s="182" t="s">
        <v>704</v>
      </c>
      <c r="B266" s="149" t="s">
        <v>713</v>
      </c>
      <c r="C266" s="103" t="s">
        <v>715</v>
      </c>
      <c r="D266" s="145" t="s">
        <v>339</v>
      </c>
      <c r="E266" s="145">
        <v>20</v>
      </c>
      <c r="F266" s="145">
        <v>21</v>
      </c>
      <c r="G266" s="145">
        <v>21</v>
      </c>
      <c r="H266" s="146">
        <v>632.07260400000007</v>
      </c>
      <c r="I266" s="146">
        <v>663.67623420000007</v>
      </c>
      <c r="J266" s="147">
        <v>663.67623420000007</v>
      </c>
    </row>
    <row r="267" spans="1:11" ht="76.5" x14ac:dyDescent="0.2">
      <c r="A267" s="182" t="s">
        <v>377</v>
      </c>
      <c r="B267" s="149" t="s">
        <v>716</v>
      </c>
      <c r="C267" s="103" t="s">
        <v>717</v>
      </c>
      <c r="D267" s="145" t="s">
        <v>339</v>
      </c>
      <c r="E267" s="145">
        <v>1975</v>
      </c>
      <c r="F267" s="145">
        <v>2015</v>
      </c>
      <c r="G267" s="145">
        <v>1970</v>
      </c>
      <c r="H267" s="146">
        <v>9480</v>
      </c>
      <c r="I267" s="146">
        <v>9015.6</v>
      </c>
      <c r="J267" s="147">
        <v>9456</v>
      </c>
    </row>
    <row r="268" spans="1:11" ht="114.75" x14ac:dyDescent="0.2">
      <c r="A268" s="182" t="s">
        <v>374</v>
      </c>
      <c r="B268" s="149" t="s">
        <v>718</v>
      </c>
      <c r="C268" s="103" t="s">
        <v>719</v>
      </c>
      <c r="D268" s="145" t="s">
        <v>339</v>
      </c>
      <c r="E268" s="145">
        <v>76</v>
      </c>
      <c r="F268" s="145">
        <v>74</v>
      </c>
      <c r="G268" s="145">
        <v>75</v>
      </c>
      <c r="H268" s="146">
        <v>1988.5858763636363</v>
      </c>
      <c r="I268" s="146">
        <v>1936.2546690909089</v>
      </c>
      <c r="J268" s="147">
        <v>1962.4202727272725</v>
      </c>
    </row>
    <row r="269" spans="1:11" ht="114.75" x14ac:dyDescent="0.2">
      <c r="A269" s="182" t="s">
        <v>374</v>
      </c>
      <c r="B269" s="149" t="s">
        <v>720</v>
      </c>
      <c r="C269" s="103" t="s">
        <v>721</v>
      </c>
      <c r="D269" s="145" t="s">
        <v>339</v>
      </c>
      <c r="E269" s="145">
        <v>95</v>
      </c>
      <c r="F269" s="145">
        <v>99</v>
      </c>
      <c r="G269" s="145">
        <v>93</v>
      </c>
      <c r="H269" s="146">
        <v>2485.7323454545453</v>
      </c>
      <c r="I269" s="146">
        <v>2590.3947599999997</v>
      </c>
      <c r="J269" s="147">
        <v>2433.4011381818182</v>
      </c>
    </row>
    <row r="270" spans="1:11" ht="89.25" x14ac:dyDescent="0.2">
      <c r="A270" s="182" t="s">
        <v>396</v>
      </c>
      <c r="B270" s="149" t="s">
        <v>722</v>
      </c>
      <c r="C270" s="103" t="s">
        <v>723</v>
      </c>
      <c r="D270" s="145" t="s">
        <v>339</v>
      </c>
      <c r="E270" s="145">
        <v>13</v>
      </c>
      <c r="F270" s="145">
        <v>14</v>
      </c>
      <c r="G270" s="145">
        <v>16</v>
      </c>
      <c r="H270" s="146">
        <v>779.82129828571431</v>
      </c>
      <c r="I270" s="146">
        <v>839.80755199999999</v>
      </c>
      <c r="J270" s="147">
        <v>959.78005942857146</v>
      </c>
    </row>
    <row r="271" spans="1:11" ht="51" x14ac:dyDescent="0.2">
      <c r="A271" s="182" t="s">
        <v>706</v>
      </c>
      <c r="B271" s="149" t="s">
        <v>724</v>
      </c>
      <c r="C271" s="103" t="s">
        <v>725</v>
      </c>
      <c r="D271" s="145" t="s">
        <v>339</v>
      </c>
      <c r="E271" s="145">
        <v>38</v>
      </c>
      <c r="F271" s="145">
        <v>42</v>
      </c>
      <c r="G271" s="145">
        <v>40</v>
      </c>
      <c r="H271" s="146">
        <v>1261.1238366778618</v>
      </c>
      <c r="I271" s="146">
        <v>1393.8737142228999</v>
      </c>
      <c r="J271" s="147">
        <v>1327.4987754503809</v>
      </c>
    </row>
    <row r="272" spans="1:11" ht="51" x14ac:dyDescent="0.2">
      <c r="A272" s="182" t="s">
        <v>706</v>
      </c>
      <c r="B272" s="149" t="s">
        <v>724</v>
      </c>
      <c r="C272" s="103" t="s">
        <v>726</v>
      </c>
      <c r="D272" s="145" t="s">
        <v>339</v>
      </c>
      <c r="E272" s="145">
        <v>78</v>
      </c>
      <c r="F272" s="145">
        <v>78</v>
      </c>
      <c r="G272" s="145">
        <v>64</v>
      </c>
      <c r="H272" s="146">
        <v>2588.6226121282425</v>
      </c>
      <c r="I272" s="146">
        <v>2588.6226121282425</v>
      </c>
      <c r="J272" s="147">
        <v>2123.9980407206094</v>
      </c>
    </row>
    <row r="273" spans="1:10" ht="76.5" x14ac:dyDescent="0.2">
      <c r="A273" s="182" t="s">
        <v>698</v>
      </c>
      <c r="B273" s="149" t="s">
        <v>727</v>
      </c>
      <c r="C273" s="103" t="s">
        <v>725</v>
      </c>
      <c r="D273" s="145" t="s">
        <v>339</v>
      </c>
      <c r="E273" s="145">
        <v>38</v>
      </c>
      <c r="F273" s="145">
        <v>42</v>
      </c>
      <c r="G273" s="145">
        <v>40</v>
      </c>
      <c r="H273" s="146">
        <v>648.61486034285713</v>
      </c>
      <c r="I273" s="146">
        <v>716.89010879999989</v>
      </c>
      <c r="J273" s="147">
        <v>682.75248457142857</v>
      </c>
    </row>
    <row r="274" spans="1:10" ht="76.5" x14ac:dyDescent="0.2">
      <c r="A274" s="182" t="s">
        <v>698</v>
      </c>
      <c r="B274" s="149" t="s">
        <v>727</v>
      </c>
      <c r="C274" s="103" t="s">
        <v>728</v>
      </c>
      <c r="D274" s="145" t="s">
        <v>339</v>
      </c>
      <c r="E274" s="145">
        <f>20+68</f>
        <v>88</v>
      </c>
      <c r="F274" s="145">
        <f>21+72</f>
        <v>93</v>
      </c>
      <c r="G274" s="145">
        <f>21+76</f>
        <v>97</v>
      </c>
      <c r="H274" s="146">
        <f>341.376242285714+1160.68</f>
        <v>1502.056242285714</v>
      </c>
      <c r="I274" s="146">
        <f>358.4450544+1228.95</f>
        <v>1587.3950543999999</v>
      </c>
      <c r="J274" s="147">
        <f>358.4450544+1297.23</f>
        <v>1655.6750544000001</v>
      </c>
    </row>
    <row r="275" spans="1:10" ht="63.75" x14ac:dyDescent="0.2">
      <c r="A275" s="182" t="s">
        <v>698</v>
      </c>
      <c r="B275" s="149" t="s">
        <v>729</v>
      </c>
      <c r="C275" s="103" t="s">
        <v>730</v>
      </c>
      <c r="D275" s="145" t="s">
        <v>339</v>
      </c>
      <c r="E275" s="145">
        <v>38</v>
      </c>
      <c r="F275" s="145">
        <v>42</v>
      </c>
      <c r="G275" s="145">
        <v>40</v>
      </c>
      <c r="H275" s="146">
        <v>1367.1319777454544</v>
      </c>
      <c r="I275" s="146">
        <v>1511.040606981818</v>
      </c>
      <c r="J275" s="147">
        <v>1439.0862923636362</v>
      </c>
    </row>
    <row r="276" spans="1:10" ht="64.5" thickBot="1" x14ac:dyDescent="0.25">
      <c r="A276" s="184" t="s">
        <v>698</v>
      </c>
      <c r="B276" s="195" t="s">
        <v>729</v>
      </c>
      <c r="C276" s="186" t="s">
        <v>728</v>
      </c>
      <c r="D276" s="196" t="s">
        <v>339</v>
      </c>
      <c r="E276" s="196">
        <v>20</v>
      </c>
      <c r="F276" s="196">
        <v>21</v>
      </c>
      <c r="G276" s="196">
        <v>21</v>
      </c>
      <c r="H276" s="187">
        <v>719.54314618181809</v>
      </c>
      <c r="I276" s="187">
        <v>755.52030349090899</v>
      </c>
      <c r="J276" s="197">
        <v>755.52030349090899</v>
      </c>
    </row>
    <row r="277" spans="1:10" x14ac:dyDescent="0.2">
      <c r="A277" s="179" t="s">
        <v>695</v>
      </c>
      <c r="B277" s="158" t="s">
        <v>731</v>
      </c>
      <c r="C277" s="159" t="s">
        <v>108</v>
      </c>
      <c r="D277" s="193" t="s">
        <v>339</v>
      </c>
      <c r="E277" s="193">
        <v>10</v>
      </c>
      <c r="F277" s="193">
        <v>7</v>
      </c>
      <c r="G277" s="193">
        <v>7</v>
      </c>
      <c r="H277" s="181">
        <v>3172.5</v>
      </c>
      <c r="I277" s="181">
        <v>2720.75</v>
      </c>
      <c r="J277" s="194">
        <v>2720.75</v>
      </c>
    </row>
    <row r="278" spans="1:10" x14ac:dyDescent="0.2">
      <c r="A278" s="182" t="s">
        <v>237</v>
      </c>
      <c r="B278" s="149" t="s">
        <v>732</v>
      </c>
      <c r="C278" s="103" t="s">
        <v>108</v>
      </c>
      <c r="D278" s="145" t="s">
        <v>339</v>
      </c>
      <c r="E278" s="145">
        <v>10</v>
      </c>
      <c r="F278" s="145">
        <v>7</v>
      </c>
      <c r="G278" s="145">
        <v>7</v>
      </c>
      <c r="H278" s="146">
        <v>1377.5459999999998</v>
      </c>
      <c r="I278" s="146">
        <v>1051.7370000000001</v>
      </c>
      <c r="J278" s="147">
        <v>1051.7370000000001</v>
      </c>
    </row>
    <row r="279" spans="1:10" ht="51" x14ac:dyDescent="0.2">
      <c r="A279" s="182" t="s">
        <v>232</v>
      </c>
      <c r="B279" s="149" t="s">
        <v>733</v>
      </c>
      <c r="C279" s="103" t="s">
        <v>57</v>
      </c>
      <c r="D279" s="145" t="s">
        <v>366</v>
      </c>
      <c r="E279" s="145">
        <v>47</v>
      </c>
      <c r="F279" s="145">
        <v>49</v>
      </c>
      <c r="G279" s="145">
        <v>49</v>
      </c>
      <c r="H279" s="146">
        <v>954.1</v>
      </c>
      <c r="I279" s="146">
        <v>1543.7</v>
      </c>
      <c r="J279" s="147">
        <v>1592.7</v>
      </c>
    </row>
    <row r="280" spans="1:10" ht="13.5" thickBot="1" x14ac:dyDescent="0.25">
      <c r="A280" s="184" t="s">
        <v>659</v>
      </c>
      <c r="B280" s="195" t="s">
        <v>734</v>
      </c>
      <c r="C280" s="186" t="s">
        <v>108</v>
      </c>
      <c r="D280" s="196" t="s">
        <v>339</v>
      </c>
      <c r="E280" s="196">
        <v>10</v>
      </c>
      <c r="F280" s="196">
        <v>7</v>
      </c>
      <c r="G280" s="196">
        <v>7</v>
      </c>
      <c r="H280" s="187">
        <v>2528.6999999999998</v>
      </c>
      <c r="I280" s="187">
        <v>2189.5460000000003</v>
      </c>
      <c r="J280" s="197">
        <v>2140.5460000000003</v>
      </c>
    </row>
    <row r="281" spans="1:10" ht="13.5" thickBot="1" x14ac:dyDescent="0.25"/>
    <row r="282" spans="1:10" ht="20.25" customHeight="1" thickBot="1" x14ac:dyDescent="0.25">
      <c r="A282" s="220"/>
      <c r="B282" s="221"/>
      <c r="C282" s="222"/>
      <c r="D282" s="223"/>
      <c r="E282" s="219" t="s">
        <v>3</v>
      </c>
      <c r="F282" s="214" t="s">
        <v>4</v>
      </c>
      <c r="G282" s="214" t="s">
        <v>5</v>
      </c>
    </row>
    <row r="283" spans="1:10" ht="31.5" customHeight="1" thickBot="1" x14ac:dyDescent="0.25">
      <c r="A283" s="320" t="s">
        <v>738</v>
      </c>
      <c r="B283" s="321"/>
      <c r="C283" s="321"/>
      <c r="D283" s="322"/>
      <c r="E283" s="217">
        <v>1497841.5</v>
      </c>
      <c r="F283" s="215">
        <v>1497841.5</v>
      </c>
      <c r="G283" s="216">
        <v>1497841.5</v>
      </c>
    </row>
  </sheetData>
  <mergeCells count="9">
    <mergeCell ref="A2:J2"/>
    <mergeCell ref="A3:J3"/>
    <mergeCell ref="A4:J4"/>
    <mergeCell ref="A6:A7"/>
    <mergeCell ref="A283:D283"/>
    <mergeCell ref="B6:B7"/>
    <mergeCell ref="C6:D6"/>
    <mergeCell ref="E6:G6"/>
    <mergeCell ref="H6:J6"/>
  </mergeCells>
  <pageMargins left="1.1811023622047245" right="0.59055118110236227" top="0.59055118110236227" bottom="0.59055118110236227" header="0.31496062992125984" footer="0.31496062992125984"/>
  <pageSetup paperSize="9" scale="4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view="pageBreakPreview" zoomScale="85" zoomScaleNormal="100" zoomScaleSheetLayoutView="85" workbookViewId="0">
      <selection activeCell="A5" sqref="A5"/>
    </sheetView>
  </sheetViews>
  <sheetFormatPr defaultRowHeight="15" x14ac:dyDescent="0.25"/>
  <cols>
    <col min="1" max="1" width="9.5703125" customWidth="1"/>
    <col min="2" max="2" width="38.42578125" customWidth="1"/>
    <col min="3" max="3" width="23.28515625" customWidth="1"/>
    <col min="4" max="4" width="15.5703125" customWidth="1"/>
    <col min="5" max="6" width="14.28515625" customWidth="1"/>
    <col min="7" max="9" width="14.7109375" customWidth="1"/>
    <col min="10" max="10" width="14.28515625" customWidth="1"/>
    <col min="11" max="11" width="8.85546875" customWidth="1"/>
  </cols>
  <sheetData>
    <row r="1" spans="1:10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50.2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4" spans="1:10" ht="15.75" x14ac:dyDescent="0.25">
      <c r="A4" s="282" t="s">
        <v>781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0" x14ac:dyDescent="0.25">
      <c r="J5" s="1"/>
    </row>
    <row r="6" spans="1:10" ht="49.15" customHeight="1" x14ac:dyDescent="0.25">
      <c r="A6" s="331" t="s">
        <v>10</v>
      </c>
      <c r="B6" s="331" t="s">
        <v>6</v>
      </c>
      <c r="C6" s="332" t="s">
        <v>7</v>
      </c>
      <c r="D6" s="332"/>
      <c r="E6" s="332" t="s">
        <v>8</v>
      </c>
      <c r="F6" s="332"/>
      <c r="G6" s="332"/>
      <c r="H6" s="332" t="s">
        <v>9</v>
      </c>
      <c r="I6" s="332"/>
      <c r="J6" s="332"/>
    </row>
    <row r="7" spans="1:10" ht="47.25" x14ac:dyDescent="0.25">
      <c r="A7" s="331"/>
      <c r="B7" s="331"/>
      <c r="C7" s="6" t="s">
        <v>1</v>
      </c>
      <c r="D7" s="6" t="s">
        <v>2</v>
      </c>
      <c r="E7" s="52" t="s">
        <v>3</v>
      </c>
      <c r="F7" s="7" t="s">
        <v>4</v>
      </c>
      <c r="G7" s="7" t="s">
        <v>5</v>
      </c>
      <c r="H7" s="52" t="s">
        <v>3</v>
      </c>
      <c r="I7" s="7" t="s">
        <v>4</v>
      </c>
      <c r="J7" s="7" t="s">
        <v>5</v>
      </c>
    </row>
    <row r="8" spans="1:10" ht="66.599999999999994" customHeight="1" x14ac:dyDescent="0.25">
      <c r="A8" s="233" t="s">
        <v>782</v>
      </c>
      <c r="B8" s="233" t="s">
        <v>783</v>
      </c>
      <c r="C8" s="6" t="s">
        <v>784</v>
      </c>
      <c r="D8" s="6" t="s">
        <v>326</v>
      </c>
      <c r="E8" s="250">
        <v>325</v>
      </c>
      <c r="F8" s="250">
        <v>325</v>
      </c>
      <c r="G8" s="250">
        <v>325</v>
      </c>
      <c r="H8" s="27">
        <v>6030.8</v>
      </c>
      <c r="I8" s="27">
        <v>6030.8</v>
      </c>
      <c r="J8" s="27">
        <v>6030.8</v>
      </c>
    </row>
    <row r="9" spans="1:10" ht="83.45" customHeight="1" x14ac:dyDescent="0.25">
      <c r="A9" s="329" t="s">
        <v>785</v>
      </c>
      <c r="B9" s="329" t="s">
        <v>786</v>
      </c>
      <c r="C9" s="6" t="s">
        <v>787</v>
      </c>
      <c r="D9" s="6" t="s">
        <v>788</v>
      </c>
      <c r="E9" s="250">
        <v>596485</v>
      </c>
      <c r="F9" s="250">
        <v>596485</v>
      </c>
      <c r="G9" s="250">
        <v>596485</v>
      </c>
      <c r="H9" s="27">
        <v>6835.4</v>
      </c>
      <c r="I9" s="27">
        <v>6835.4</v>
      </c>
      <c r="J9" s="27">
        <v>6835.4</v>
      </c>
    </row>
    <row r="10" spans="1:10" ht="112.15" customHeight="1" x14ac:dyDescent="0.25">
      <c r="A10" s="330"/>
      <c r="B10" s="330"/>
      <c r="C10" s="6" t="s">
        <v>789</v>
      </c>
      <c r="D10" s="6" t="s">
        <v>326</v>
      </c>
      <c r="E10" s="250">
        <v>21</v>
      </c>
      <c r="F10" s="250">
        <v>21</v>
      </c>
      <c r="G10" s="250">
        <v>21</v>
      </c>
      <c r="H10" s="27">
        <v>6835.4</v>
      </c>
      <c r="I10" s="27">
        <v>7205.9</v>
      </c>
      <c r="J10" s="27">
        <v>7205.9</v>
      </c>
    </row>
    <row r="11" spans="1:10" ht="127.9" customHeight="1" x14ac:dyDescent="0.25">
      <c r="A11" s="330"/>
      <c r="B11" s="330"/>
      <c r="C11" s="6" t="s">
        <v>790</v>
      </c>
      <c r="D11" s="6" t="s">
        <v>791</v>
      </c>
      <c r="E11" s="250">
        <v>5</v>
      </c>
      <c r="F11" s="250">
        <v>5</v>
      </c>
      <c r="G11" s="250">
        <v>5</v>
      </c>
      <c r="H11" s="27">
        <v>285.39999999999998</v>
      </c>
      <c r="I11" s="27">
        <v>287.89999999999998</v>
      </c>
      <c r="J11" s="27">
        <v>287.89999999999998</v>
      </c>
    </row>
    <row r="12" spans="1:10" ht="127.9" customHeight="1" x14ac:dyDescent="0.25">
      <c r="A12" s="330"/>
      <c r="B12" s="330"/>
      <c r="C12" s="6" t="s">
        <v>792</v>
      </c>
      <c r="D12" s="6" t="s">
        <v>791</v>
      </c>
      <c r="E12" s="250">
        <v>11</v>
      </c>
      <c r="F12" s="250">
        <v>11</v>
      </c>
      <c r="G12" s="250">
        <v>11</v>
      </c>
      <c r="H12" s="27">
        <v>559.9</v>
      </c>
      <c r="I12" s="27">
        <v>564.9</v>
      </c>
      <c r="J12" s="27">
        <v>564.9</v>
      </c>
    </row>
    <row r="13" spans="1:10" ht="125.45" customHeight="1" x14ac:dyDescent="0.25">
      <c r="A13" s="330"/>
      <c r="B13" s="330"/>
      <c r="C13" s="6" t="s">
        <v>793</v>
      </c>
      <c r="D13" s="6" t="s">
        <v>791</v>
      </c>
      <c r="E13" s="250">
        <v>475</v>
      </c>
      <c r="F13" s="250">
        <v>475</v>
      </c>
      <c r="G13" s="250">
        <v>475</v>
      </c>
      <c r="H13" s="27">
        <v>1156.0999999999999</v>
      </c>
      <c r="I13" s="27">
        <v>1166.4000000000001</v>
      </c>
      <c r="J13" s="27">
        <v>1166.4000000000001</v>
      </c>
    </row>
    <row r="14" spans="1:10" ht="145.9" customHeight="1" x14ac:dyDescent="0.25">
      <c r="A14" s="330"/>
      <c r="B14" s="330"/>
      <c r="C14" s="6" t="s">
        <v>794</v>
      </c>
      <c r="D14" s="6" t="s">
        <v>791</v>
      </c>
      <c r="E14" s="250">
        <v>2200</v>
      </c>
      <c r="F14" s="250">
        <v>2200</v>
      </c>
      <c r="G14" s="250">
        <v>2200</v>
      </c>
      <c r="H14" s="27">
        <v>4057.4</v>
      </c>
      <c r="I14" s="27">
        <v>4093.3</v>
      </c>
      <c r="J14" s="27">
        <v>4093.3</v>
      </c>
    </row>
    <row r="15" spans="1:10" ht="159" customHeight="1" x14ac:dyDescent="0.25">
      <c r="A15" s="330"/>
      <c r="B15" s="330"/>
      <c r="C15" s="6" t="s">
        <v>795</v>
      </c>
      <c r="D15" s="6" t="s">
        <v>788</v>
      </c>
      <c r="E15" s="250">
        <v>210</v>
      </c>
      <c r="F15" s="250">
        <v>210</v>
      </c>
      <c r="G15" s="250">
        <v>210</v>
      </c>
      <c r="H15" s="27">
        <v>440.4</v>
      </c>
      <c r="I15" s="27">
        <v>444.2</v>
      </c>
      <c r="J15" s="27">
        <v>444.2</v>
      </c>
    </row>
    <row r="16" spans="1:10" ht="191.45" customHeight="1" x14ac:dyDescent="0.25">
      <c r="A16" s="330"/>
      <c r="B16" s="330"/>
      <c r="C16" s="6" t="s">
        <v>796</v>
      </c>
      <c r="D16" s="6" t="s">
        <v>326</v>
      </c>
      <c r="E16" s="250">
        <v>866</v>
      </c>
      <c r="F16" s="250">
        <v>866</v>
      </c>
      <c r="G16" s="250">
        <v>866</v>
      </c>
      <c r="H16" s="27">
        <v>1601.7</v>
      </c>
      <c r="I16" s="27">
        <v>1615.9</v>
      </c>
      <c r="J16" s="27">
        <v>1615.9</v>
      </c>
    </row>
    <row r="17" spans="1:10" ht="208.9" customHeight="1" x14ac:dyDescent="0.25">
      <c r="A17" s="330"/>
      <c r="B17" s="330"/>
      <c r="C17" s="6" t="s">
        <v>797</v>
      </c>
      <c r="D17" s="6" t="s">
        <v>326</v>
      </c>
      <c r="E17" s="250">
        <v>112</v>
      </c>
      <c r="F17" s="250">
        <v>112</v>
      </c>
      <c r="G17" s="250">
        <v>112</v>
      </c>
      <c r="H17" s="27">
        <v>248.3</v>
      </c>
      <c r="I17" s="27">
        <v>250.5</v>
      </c>
      <c r="J17" s="27">
        <v>250.5</v>
      </c>
    </row>
    <row r="18" spans="1:10" ht="144.6" customHeight="1" x14ac:dyDescent="0.25">
      <c r="A18" s="330"/>
      <c r="B18" s="330"/>
      <c r="C18" s="6" t="s">
        <v>798</v>
      </c>
      <c r="D18" s="6" t="s">
        <v>326</v>
      </c>
      <c r="E18" s="250">
        <v>115</v>
      </c>
      <c r="F18" s="250">
        <v>115</v>
      </c>
      <c r="G18" s="250">
        <v>115</v>
      </c>
      <c r="H18" s="27">
        <v>329.8</v>
      </c>
      <c r="I18" s="27">
        <v>332.7</v>
      </c>
      <c r="J18" s="27">
        <v>332.7</v>
      </c>
    </row>
    <row r="19" spans="1:10" ht="65.45" customHeight="1" x14ac:dyDescent="0.25">
      <c r="A19" s="233" t="s">
        <v>799</v>
      </c>
      <c r="B19" s="233" t="s">
        <v>800</v>
      </c>
      <c r="C19" s="6" t="s">
        <v>801</v>
      </c>
      <c r="D19" s="6" t="s">
        <v>326</v>
      </c>
      <c r="E19" s="250">
        <v>410</v>
      </c>
      <c r="F19" s="250">
        <v>410</v>
      </c>
      <c r="G19" s="250">
        <v>410</v>
      </c>
      <c r="H19" s="27">
        <v>1675.4</v>
      </c>
      <c r="I19" s="27">
        <v>1690.3</v>
      </c>
      <c r="J19" s="27">
        <v>1690.3</v>
      </c>
    </row>
    <row r="20" spans="1:10" ht="82.9" customHeight="1" x14ac:dyDescent="0.25">
      <c r="A20" s="233" t="s">
        <v>802</v>
      </c>
      <c r="B20" s="233" t="s">
        <v>803</v>
      </c>
      <c r="C20" s="6" t="s">
        <v>804</v>
      </c>
      <c r="D20" s="6" t="s">
        <v>788</v>
      </c>
      <c r="E20" s="250">
        <v>46.6</v>
      </c>
      <c r="F20" s="250">
        <v>46.6</v>
      </c>
      <c r="G20" s="250">
        <v>46.6</v>
      </c>
      <c r="H20" s="27">
        <v>2255</v>
      </c>
      <c r="I20" s="27">
        <v>2275</v>
      </c>
      <c r="J20" s="27">
        <v>2275</v>
      </c>
    </row>
    <row r="21" spans="1:10" ht="98.45" customHeight="1" x14ac:dyDescent="0.25">
      <c r="A21" s="329" t="s">
        <v>805</v>
      </c>
      <c r="B21" s="329" t="s">
        <v>806</v>
      </c>
      <c r="C21" s="6" t="s">
        <v>807</v>
      </c>
      <c r="D21" s="6" t="s">
        <v>788</v>
      </c>
      <c r="E21" s="250">
        <v>402.8</v>
      </c>
      <c r="F21" s="250">
        <v>402.8</v>
      </c>
      <c r="G21" s="250">
        <v>402.8</v>
      </c>
      <c r="H21" s="27">
        <v>4063</v>
      </c>
      <c r="I21" s="27">
        <v>4099.1000000000004</v>
      </c>
      <c r="J21" s="27">
        <v>4099.1000000000004</v>
      </c>
    </row>
    <row r="22" spans="1:10" ht="96" customHeight="1" x14ac:dyDescent="0.25">
      <c r="A22" s="330"/>
      <c r="B22" s="330"/>
      <c r="C22" s="6" t="s">
        <v>808</v>
      </c>
      <c r="D22" s="6" t="s">
        <v>788</v>
      </c>
      <c r="E22" s="250">
        <v>37.6</v>
      </c>
      <c r="F22" s="250">
        <v>37.6</v>
      </c>
      <c r="G22" s="250">
        <v>37.6</v>
      </c>
      <c r="H22" s="27">
        <v>420.6</v>
      </c>
      <c r="I22" s="27">
        <v>424.3</v>
      </c>
      <c r="J22" s="27">
        <v>424.3</v>
      </c>
    </row>
    <row r="23" spans="1:10" ht="109.9" customHeight="1" x14ac:dyDescent="0.25">
      <c r="A23" s="330"/>
      <c r="B23" s="330"/>
      <c r="C23" s="6" t="s">
        <v>809</v>
      </c>
      <c r="D23" s="6" t="s">
        <v>788</v>
      </c>
      <c r="E23" s="250">
        <v>457.7</v>
      </c>
      <c r="F23" s="250">
        <v>57.7</v>
      </c>
      <c r="G23" s="250">
        <v>57.7</v>
      </c>
      <c r="H23" s="27">
        <v>2266.5</v>
      </c>
      <c r="I23" s="27">
        <v>288.3</v>
      </c>
      <c r="J23" s="27">
        <v>288.3</v>
      </c>
    </row>
    <row r="24" spans="1:10" ht="97.15" customHeight="1" x14ac:dyDescent="0.25">
      <c r="A24" s="330"/>
      <c r="B24" s="330"/>
      <c r="C24" s="6" t="s">
        <v>810</v>
      </c>
      <c r="D24" s="6" t="s">
        <v>788</v>
      </c>
      <c r="E24" s="250">
        <v>866.1</v>
      </c>
      <c r="F24" s="250">
        <v>866.1</v>
      </c>
      <c r="G24" s="250">
        <v>866.1</v>
      </c>
      <c r="H24" s="27">
        <v>4347.8</v>
      </c>
      <c r="I24" s="27">
        <v>4386.5</v>
      </c>
      <c r="J24" s="27">
        <v>4386.5</v>
      </c>
    </row>
    <row r="25" spans="1:10" ht="145.9" customHeight="1" x14ac:dyDescent="0.25">
      <c r="A25" s="330"/>
      <c r="B25" s="330"/>
      <c r="C25" s="6" t="s">
        <v>811</v>
      </c>
      <c r="D25" s="6" t="s">
        <v>788</v>
      </c>
      <c r="E25" s="250">
        <v>1514.6</v>
      </c>
      <c r="F25" s="250">
        <v>1514.6</v>
      </c>
      <c r="G25" s="250">
        <v>1514.6</v>
      </c>
      <c r="H25" s="27">
        <v>9180</v>
      </c>
      <c r="I25" s="27">
        <v>9180</v>
      </c>
      <c r="J25" s="27">
        <v>9180</v>
      </c>
    </row>
    <row r="26" spans="1:10" ht="126.6" customHeight="1" x14ac:dyDescent="0.25">
      <c r="A26" s="330"/>
      <c r="B26" s="330"/>
      <c r="C26" s="6" t="s">
        <v>812</v>
      </c>
      <c r="D26" s="6" t="s">
        <v>788</v>
      </c>
      <c r="E26" s="250">
        <v>504.9</v>
      </c>
      <c r="F26" s="250">
        <v>504.9</v>
      </c>
      <c r="G26" s="250">
        <v>504.9</v>
      </c>
      <c r="H26" s="27">
        <v>7704.4</v>
      </c>
      <c r="I26" s="27">
        <v>7854.9</v>
      </c>
      <c r="J26" s="27">
        <v>7854.9</v>
      </c>
    </row>
    <row r="27" spans="1:10" ht="95.45" customHeight="1" x14ac:dyDescent="0.25">
      <c r="A27" s="330"/>
      <c r="B27" s="330"/>
      <c r="C27" s="6" t="s">
        <v>813</v>
      </c>
      <c r="D27" s="6" t="s">
        <v>788</v>
      </c>
      <c r="E27" s="250">
        <v>14.6</v>
      </c>
      <c r="F27" s="250">
        <v>14.6</v>
      </c>
      <c r="G27" s="250">
        <v>14.6</v>
      </c>
      <c r="H27" s="27">
        <v>205.8</v>
      </c>
      <c r="I27" s="27">
        <v>207.6</v>
      </c>
      <c r="J27" s="27">
        <v>207.6</v>
      </c>
    </row>
    <row r="28" spans="1:10" ht="95.45" customHeight="1" x14ac:dyDescent="0.25">
      <c r="A28" s="330"/>
      <c r="B28" s="330"/>
      <c r="C28" s="6" t="s">
        <v>814</v>
      </c>
      <c r="D28" s="6" t="s">
        <v>788</v>
      </c>
      <c r="E28" s="250">
        <v>414</v>
      </c>
      <c r="F28" s="250">
        <v>414</v>
      </c>
      <c r="G28" s="250">
        <v>414</v>
      </c>
      <c r="H28" s="27">
        <v>1329.7</v>
      </c>
      <c r="I28" s="27">
        <v>1341.5</v>
      </c>
      <c r="J28" s="27">
        <v>1341.5</v>
      </c>
    </row>
    <row r="29" spans="1:10" ht="93.6" customHeight="1" x14ac:dyDescent="0.25">
      <c r="A29" s="330"/>
      <c r="B29" s="330"/>
      <c r="C29" s="6" t="s">
        <v>815</v>
      </c>
      <c r="D29" s="6" t="s">
        <v>788</v>
      </c>
      <c r="E29" s="250">
        <v>1243.0999999999999</v>
      </c>
      <c r="F29" s="250">
        <v>1243.0999999999999</v>
      </c>
      <c r="G29" s="250">
        <v>1243.0999999999999</v>
      </c>
      <c r="H29" s="27">
        <v>21414.400000000001</v>
      </c>
      <c r="I29" s="27">
        <v>21604.3</v>
      </c>
      <c r="J29" s="27">
        <v>21604.3</v>
      </c>
    </row>
    <row r="30" spans="1:10" ht="112.15" customHeight="1" x14ac:dyDescent="0.25">
      <c r="A30" s="330"/>
      <c r="B30" s="330"/>
      <c r="C30" s="6" t="s">
        <v>816</v>
      </c>
      <c r="D30" s="6" t="s">
        <v>788</v>
      </c>
      <c r="E30" s="250">
        <v>6.31</v>
      </c>
      <c r="F30" s="250">
        <v>34.24</v>
      </c>
      <c r="G30" s="250">
        <v>34.24</v>
      </c>
      <c r="H30" s="27">
        <f>751.6-499.2</f>
        <v>252.40000000000003</v>
      </c>
      <c r="I30" s="27">
        <v>1369.6</v>
      </c>
      <c r="J30" s="27">
        <f>2191-821.4</f>
        <v>1369.6</v>
      </c>
    </row>
    <row r="31" spans="1:10" ht="65.45" customHeight="1" x14ac:dyDescent="0.25">
      <c r="A31" s="233" t="s">
        <v>817</v>
      </c>
      <c r="B31" s="233" t="s">
        <v>818</v>
      </c>
      <c r="C31" s="6" t="s">
        <v>819</v>
      </c>
      <c r="D31" s="6" t="s">
        <v>788</v>
      </c>
      <c r="E31" s="250">
        <v>4132.7</v>
      </c>
      <c r="F31" s="250">
        <v>4132.7</v>
      </c>
      <c r="G31" s="250">
        <v>4132.7</v>
      </c>
      <c r="H31" s="27">
        <v>22827.9</v>
      </c>
      <c r="I31" s="27">
        <v>23030.7</v>
      </c>
      <c r="J31" s="27">
        <v>23030.7</v>
      </c>
    </row>
    <row r="32" spans="1:10" ht="129" customHeight="1" x14ac:dyDescent="0.25">
      <c r="A32" s="329" t="s">
        <v>820</v>
      </c>
      <c r="B32" s="329" t="s">
        <v>821</v>
      </c>
      <c r="C32" s="6" t="s">
        <v>822</v>
      </c>
      <c r="D32" s="6" t="s">
        <v>788</v>
      </c>
      <c r="E32" s="250">
        <v>5.4</v>
      </c>
      <c r="F32" s="250">
        <v>5.4</v>
      </c>
      <c r="G32" s="250">
        <v>5.4</v>
      </c>
      <c r="H32" s="27">
        <v>4586.3999999999996</v>
      </c>
      <c r="I32" s="27">
        <v>4626</v>
      </c>
      <c r="J32" s="27">
        <v>4626</v>
      </c>
    </row>
    <row r="33" spans="1:10" ht="99" customHeight="1" x14ac:dyDescent="0.25">
      <c r="A33" s="330"/>
      <c r="B33" s="330"/>
      <c r="C33" s="6" t="s">
        <v>823</v>
      </c>
      <c r="D33" s="6" t="s">
        <v>788</v>
      </c>
      <c r="E33" s="250">
        <f>2.6+251.9</f>
        <v>254.5</v>
      </c>
      <c r="F33" s="250">
        <v>251.9</v>
      </c>
      <c r="G33" s="250">
        <v>251.9</v>
      </c>
      <c r="H33" s="27">
        <f>98.2+7111.8</f>
        <v>7210</v>
      </c>
      <c r="I33" s="27">
        <v>7175</v>
      </c>
      <c r="J33" s="27">
        <v>7175</v>
      </c>
    </row>
    <row r="34" spans="1:10" ht="51.6" customHeight="1" x14ac:dyDescent="0.25">
      <c r="A34" s="330"/>
      <c r="B34" s="330"/>
      <c r="C34" s="6" t="s">
        <v>824</v>
      </c>
      <c r="D34" s="7" t="s">
        <v>825</v>
      </c>
      <c r="E34" s="250">
        <v>164</v>
      </c>
      <c r="F34" s="250">
        <v>4489</v>
      </c>
      <c r="G34" s="250">
        <v>4489</v>
      </c>
      <c r="H34" s="27">
        <v>892.5</v>
      </c>
      <c r="I34" s="27">
        <f>900.4+99.1</f>
        <v>999.5</v>
      </c>
      <c r="J34" s="27">
        <f>900.4+99.1</f>
        <v>999.5</v>
      </c>
    </row>
    <row r="35" spans="1:10" ht="34.9" customHeight="1" x14ac:dyDescent="0.25">
      <c r="A35" s="330"/>
      <c r="B35" s="330"/>
      <c r="C35" s="6" t="s">
        <v>826</v>
      </c>
      <c r="D35" s="7" t="s">
        <v>226</v>
      </c>
      <c r="E35" s="250">
        <v>67</v>
      </c>
      <c r="F35" s="250">
        <v>84</v>
      </c>
      <c r="G35" s="250">
        <v>84</v>
      </c>
      <c r="H35" s="27">
        <v>277.39999999999998</v>
      </c>
      <c r="I35" s="27">
        <v>279.8</v>
      </c>
      <c r="J35" s="27">
        <v>279.8</v>
      </c>
    </row>
    <row r="36" spans="1:10" ht="18.75" customHeight="1" x14ac:dyDescent="0.25">
      <c r="A36" s="252"/>
      <c r="B36" s="252"/>
      <c r="C36" s="247"/>
      <c r="D36" s="253"/>
      <c r="E36" s="254"/>
      <c r="F36" s="254"/>
      <c r="G36" s="254"/>
      <c r="H36" s="255"/>
      <c r="I36" s="255"/>
      <c r="J36" s="255"/>
    </row>
    <row r="37" spans="1:10" s="11" customFormat="1" ht="15.75" x14ac:dyDescent="0.25">
      <c r="A37" s="270"/>
      <c r="B37" s="270"/>
      <c r="C37" s="224" t="s">
        <v>3</v>
      </c>
      <c r="D37" s="224" t="s">
        <v>4</v>
      </c>
      <c r="E37" s="224" t="s">
        <v>5</v>
      </c>
    </row>
    <row r="38" spans="1:10" s="11" customFormat="1" ht="66" customHeight="1" x14ac:dyDescent="0.25">
      <c r="A38" s="271" t="s">
        <v>248</v>
      </c>
      <c r="B38" s="272"/>
      <c r="C38" s="238">
        <v>119289.8</v>
      </c>
      <c r="D38" s="238">
        <v>119660.3</v>
      </c>
      <c r="E38" s="238">
        <v>119660.3</v>
      </c>
    </row>
  </sheetData>
  <mergeCells count="15">
    <mergeCell ref="A2:J2"/>
    <mergeCell ref="A4:J4"/>
    <mergeCell ref="A6:A7"/>
    <mergeCell ref="B6:B7"/>
    <mergeCell ref="C6:D6"/>
    <mergeCell ref="E6:G6"/>
    <mergeCell ref="H6:J6"/>
    <mergeCell ref="A37:B37"/>
    <mergeCell ref="A38:B38"/>
    <mergeCell ref="A9:A18"/>
    <mergeCell ref="B9:B18"/>
    <mergeCell ref="A21:A30"/>
    <mergeCell ref="B21:B30"/>
    <mergeCell ref="A32:A35"/>
    <mergeCell ref="B32:B35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A5" sqref="A5"/>
    </sheetView>
  </sheetViews>
  <sheetFormatPr defaultRowHeight="15" x14ac:dyDescent="0.25"/>
  <cols>
    <col min="1" max="1" width="16" customWidth="1"/>
    <col min="2" max="2" width="34" customWidth="1"/>
    <col min="3" max="9" width="14.7109375" customWidth="1"/>
    <col min="10" max="10" width="14.28515625" customWidth="1"/>
    <col min="11" max="12" width="9.5703125" bestFit="1" customWidth="1"/>
    <col min="13" max="13" width="12" customWidth="1"/>
    <col min="14" max="14" width="11.7109375" customWidth="1"/>
  </cols>
  <sheetData>
    <row r="1" spans="1:10" ht="15.6" x14ac:dyDescent="0.3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45.7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ht="15.75" x14ac:dyDescent="0.25">
      <c r="A3" s="333" t="s">
        <v>211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0" x14ac:dyDescent="0.25">
      <c r="A4" s="296" t="s">
        <v>0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0" ht="14.45" x14ac:dyDescent="0.3">
      <c r="J5" s="1"/>
    </row>
    <row r="6" spans="1:10" s="42" customFormat="1" ht="50.25" customHeight="1" x14ac:dyDescent="0.25">
      <c r="A6" s="283" t="s">
        <v>10</v>
      </c>
      <c r="B6" s="283" t="s">
        <v>6</v>
      </c>
      <c r="C6" s="288" t="s">
        <v>7</v>
      </c>
      <c r="D6" s="289"/>
      <c r="E6" s="288" t="s">
        <v>8</v>
      </c>
      <c r="F6" s="297"/>
      <c r="G6" s="289"/>
      <c r="H6" s="288" t="s">
        <v>9</v>
      </c>
      <c r="I6" s="297"/>
      <c r="J6" s="289"/>
    </row>
    <row r="7" spans="1:10" s="42" customFormat="1" ht="47.25" x14ac:dyDescent="0.25">
      <c r="A7" s="284"/>
      <c r="B7" s="284"/>
      <c r="C7" s="6" t="s">
        <v>1</v>
      </c>
      <c r="D7" s="6" t="s">
        <v>2</v>
      </c>
      <c r="E7" s="43" t="s">
        <v>3</v>
      </c>
      <c r="F7" s="44" t="s">
        <v>4</v>
      </c>
      <c r="G7" s="44" t="s">
        <v>5</v>
      </c>
      <c r="H7" s="43" t="s">
        <v>3</v>
      </c>
      <c r="I7" s="44" t="s">
        <v>4</v>
      </c>
      <c r="J7" s="44" t="s">
        <v>5</v>
      </c>
    </row>
    <row r="8" spans="1:10" s="42" customFormat="1" ht="63" x14ac:dyDescent="0.25">
      <c r="A8" s="43" t="s">
        <v>171</v>
      </c>
      <c r="B8" s="6" t="s">
        <v>173</v>
      </c>
      <c r="C8" s="6" t="s">
        <v>212</v>
      </c>
      <c r="D8" s="6" t="s">
        <v>213</v>
      </c>
      <c r="E8" s="43">
        <v>312</v>
      </c>
      <c r="F8" s="43">
        <v>312</v>
      </c>
      <c r="G8" s="43">
        <v>312</v>
      </c>
      <c r="H8" s="45">
        <v>762.18799999999999</v>
      </c>
      <c r="I8" s="45">
        <v>762.18799999999999</v>
      </c>
      <c r="J8" s="45">
        <v>762.18799999999999</v>
      </c>
    </row>
    <row r="9" spans="1:10" s="48" customFormat="1" ht="63" x14ac:dyDescent="0.25">
      <c r="A9" s="46" t="s">
        <v>214</v>
      </c>
      <c r="B9" s="6" t="s">
        <v>215</v>
      </c>
      <c r="C9" s="6" t="s">
        <v>212</v>
      </c>
      <c r="D9" s="6" t="s">
        <v>213</v>
      </c>
      <c r="E9" s="6">
        <v>48</v>
      </c>
      <c r="F9" s="6">
        <v>48</v>
      </c>
      <c r="G9" s="6">
        <v>48</v>
      </c>
      <c r="H9" s="47">
        <v>18.047999999999998</v>
      </c>
      <c r="I9" s="47">
        <v>18.047999999999998</v>
      </c>
      <c r="J9" s="47">
        <v>18.047999999999998</v>
      </c>
    </row>
    <row r="10" spans="1:10" s="48" customFormat="1" ht="63" x14ac:dyDescent="0.25">
      <c r="A10" s="46" t="s">
        <v>172</v>
      </c>
      <c r="B10" s="6" t="s">
        <v>170</v>
      </c>
      <c r="C10" s="6" t="s">
        <v>216</v>
      </c>
      <c r="D10" s="6" t="s">
        <v>213</v>
      </c>
      <c r="E10" s="6">
        <v>1074</v>
      </c>
      <c r="F10" s="6">
        <v>1074</v>
      </c>
      <c r="G10" s="6">
        <v>1074</v>
      </c>
      <c r="H10" s="47">
        <v>6347.4639999999999</v>
      </c>
      <c r="I10" s="47">
        <v>5137.1639999999998</v>
      </c>
      <c r="J10" s="47">
        <v>5137.1639999999998</v>
      </c>
    </row>
    <row r="11" spans="1:10" s="51" customFormat="1" ht="110.25" x14ac:dyDescent="0.25">
      <c r="A11" s="49" t="s">
        <v>217</v>
      </c>
      <c r="B11" s="50" t="s">
        <v>218</v>
      </c>
      <c r="C11" s="50" t="s">
        <v>219</v>
      </c>
      <c r="D11" s="7" t="s">
        <v>220</v>
      </c>
      <c r="E11" s="6">
        <v>512</v>
      </c>
      <c r="F11" s="6">
        <v>512</v>
      </c>
      <c r="G11" s="6">
        <v>512</v>
      </c>
      <c r="H11" s="47">
        <v>8943.9731514148407</v>
      </c>
      <c r="I11" s="47">
        <v>8943.9731514148407</v>
      </c>
      <c r="J11" s="47">
        <v>8943.9731514148407</v>
      </c>
    </row>
    <row r="12" spans="1:10" s="51" customFormat="1" ht="110.25" x14ac:dyDescent="0.25">
      <c r="A12" s="49" t="s">
        <v>221</v>
      </c>
      <c r="B12" s="50" t="s">
        <v>222</v>
      </c>
      <c r="C12" s="50" t="s">
        <v>219</v>
      </c>
      <c r="D12" s="7" t="s">
        <v>220</v>
      </c>
      <c r="E12" s="6">
        <v>5275</v>
      </c>
      <c r="F12" s="6">
        <v>5275</v>
      </c>
      <c r="G12" s="6">
        <v>5272</v>
      </c>
      <c r="H12" s="47">
        <v>144902.58229630699</v>
      </c>
      <c r="I12" s="47">
        <v>124531.08229630699</v>
      </c>
      <c r="J12" s="47">
        <v>124531.08229630699</v>
      </c>
    </row>
    <row r="13" spans="1:10" s="51" customFormat="1" ht="63" x14ac:dyDescent="0.25">
      <c r="A13" s="50" t="s">
        <v>223</v>
      </c>
      <c r="B13" s="50" t="s">
        <v>224</v>
      </c>
      <c r="C13" s="50" t="s">
        <v>225</v>
      </c>
      <c r="D13" s="7" t="s">
        <v>226</v>
      </c>
      <c r="E13" s="6">
        <v>52</v>
      </c>
      <c r="F13" s="6">
        <v>52</v>
      </c>
      <c r="G13" s="6">
        <v>52</v>
      </c>
      <c r="H13" s="47">
        <v>22490.207230909898</v>
      </c>
      <c r="I13" s="47">
        <v>22569.1072309099</v>
      </c>
      <c r="J13" s="47">
        <v>22569.1072309099</v>
      </c>
    </row>
    <row r="14" spans="1:10" s="51" customFormat="1" ht="47.25" x14ac:dyDescent="0.25">
      <c r="A14" s="50" t="s">
        <v>227</v>
      </c>
      <c r="B14" s="50" t="s">
        <v>228</v>
      </c>
      <c r="C14" s="50" t="s">
        <v>225</v>
      </c>
      <c r="D14" s="7" t="s">
        <v>226</v>
      </c>
      <c r="E14" s="6">
        <v>27</v>
      </c>
      <c r="F14" s="6">
        <v>27</v>
      </c>
      <c r="G14" s="6">
        <v>27</v>
      </c>
      <c r="H14" s="47">
        <v>39670.397941676601</v>
      </c>
      <c r="I14" s="47">
        <v>39670.397941676601</v>
      </c>
      <c r="J14" s="47">
        <v>39670.397941676601</v>
      </c>
    </row>
    <row r="15" spans="1:10" s="51" customFormat="1" ht="78.75" x14ac:dyDescent="0.25">
      <c r="A15" s="49" t="s">
        <v>229</v>
      </c>
      <c r="B15" s="50" t="s">
        <v>230</v>
      </c>
      <c r="C15" s="6" t="s">
        <v>231</v>
      </c>
      <c r="D15" s="7" t="s">
        <v>220</v>
      </c>
      <c r="E15" s="6">
        <v>271</v>
      </c>
      <c r="F15" s="6">
        <v>271</v>
      </c>
      <c r="G15" s="6">
        <v>271</v>
      </c>
      <c r="H15" s="47">
        <v>7225.8694681565203</v>
      </c>
      <c r="I15" s="47">
        <v>7225.8694681565203</v>
      </c>
      <c r="J15" s="47">
        <v>7225.8694681565203</v>
      </c>
    </row>
    <row r="16" spans="1:10" s="51" customFormat="1" ht="47.25" x14ac:dyDescent="0.25">
      <c r="A16" s="50" t="s">
        <v>232</v>
      </c>
      <c r="B16" s="50" t="s">
        <v>233</v>
      </c>
      <c r="C16" s="50" t="s">
        <v>234</v>
      </c>
      <c r="D16" s="7" t="s">
        <v>220</v>
      </c>
      <c r="E16" s="6">
        <v>90</v>
      </c>
      <c r="F16" s="6">
        <v>90</v>
      </c>
      <c r="G16" s="6">
        <v>90</v>
      </c>
      <c r="H16" s="47">
        <v>2662.8107680297799</v>
      </c>
      <c r="I16" s="47">
        <v>2662.8107680297799</v>
      </c>
      <c r="J16" s="47">
        <v>2662.8107680297799</v>
      </c>
    </row>
    <row r="17" spans="1:10" s="51" customFormat="1" ht="204.75" x14ac:dyDescent="0.25">
      <c r="A17" s="50" t="s">
        <v>235</v>
      </c>
      <c r="B17" s="50" t="s">
        <v>236</v>
      </c>
      <c r="C17" s="50" t="s">
        <v>234</v>
      </c>
      <c r="D17" s="7" t="s">
        <v>220</v>
      </c>
      <c r="E17" s="6">
        <v>242</v>
      </c>
      <c r="F17" s="6">
        <v>242</v>
      </c>
      <c r="G17" s="6">
        <v>242</v>
      </c>
      <c r="H17" s="47">
        <v>21296.735489803301</v>
      </c>
      <c r="I17" s="47">
        <v>21296.735489803301</v>
      </c>
      <c r="J17" s="47">
        <v>21296.735489803301</v>
      </c>
    </row>
    <row r="18" spans="1:10" s="51" customFormat="1" ht="31.5" x14ac:dyDescent="0.25">
      <c r="A18" s="50" t="s">
        <v>237</v>
      </c>
      <c r="B18" s="50" t="s">
        <v>238</v>
      </c>
      <c r="C18" s="50" t="s">
        <v>234</v>
      </c>
      <c r="D18" s="7" t="s">
        <v>220</v>
      </c>
      <c r="E18" s="6">
        <v>337</v>
      </c>
      <c r="F18" s="6">
        <v>337</v>
      </c>
      <c r="G18" s="6">
        <v>337</v>
      </c>
      <c r="H18" s="47">
        <v>10697.910652705699</v>
      </c>
      <c r="I18" s="47">
        <v>10697.910652705699</v>
      </c>
      <c r="J18" s="47">
        <v>10697.910652705699</v>
      </c>
    </row>
    <row r="19" spans="1:10" s="51" customFormat="1" ht="47.25" x14ac:dyDescent="0.25">
      <c r="A19" s="50" t="s">
        <v>239</v>
      </c>
      <c r="B19" s="50" t="s">
        <v>240</v>
      </c>
      <c r="C19" s="50" t="s">
        <v>234</v>
      </c>
      <c r="D19" s="7" t="s">
        <v>220</v>
      </c>
      <c r="E19" s="6">
        <v>17</v>
      </c>
      <c r="F19" s="6">
        <v>17</v>
      </c>
      <c r="G19" s="6">
        <v>17</v>
      </c>
      <c r="H19" s="47">
        <v>837.15075358325396</v>
      </c>
      <c r="I19" s="47">
        <v>837.15075358325396</v>
      </c>
      <c r="J19" s="47">
        <v>837.15075358325396</v>
      </c>
    </row>
    <row r="20" spans="1:10" s="42" customFormat="1" ht="47.25" x14ac:dyDescent="0.25">
      <c r="A20" s="52" t="s">
        <v>241</v>
      </c>
      <c r="B20" s="6" t="s">
        <v>242</v>
      </c>
      <c r="C20" s="6" t="s">
        <v>225</v>
      </c>
      <c r="D20" s="6" t="s">
        <v>226</v>
      </c>
      <c r="E20" s="6">
        <v>7</v>
      </c>
      <c r="F20" s="6">
        <v>7</v>
      </c>
      <c r="G20" s="6">
        <v>7</v>
      </c>
      <c r="H20" s="47">
        <v>9989.3948274134109</v>
      </c>
      <c r="I20" s="47">
        <v>9989.3948274134109</v>
      </c>
      <c r="J20" s="47">
        <v>9989.3948274134109</v>
      </c>
    </row>
    <row r="21" spans="1:10" s="42" customFormat="1" ht="15.7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3"/>
    </row>
    <row r="22" spans="1:10" s="42" customFormat="1" ht="15.75" x14ac:dyDescent="0.25">
      <c r="A22" s="270"/>
      <c r="B22" s="270"/>
      <c r="C22" s="20" t="s">
        <v>3</v>
      </c>
      <c r="D22" s="20" t="s">
        <v>4</v>
      </c>
      <c r="E22" s="20" t="s">
        <v>5</v>
      </c>
      <c r="F22" s="54"/>
      <c r="G22" s="54"/>
      <c r="H22" s="54"/>
      <c r="I22" s="54"/>
      <c r="J22" s="53"/>
    </row>
    <row r="23" spans="1:10" s="11" customFormat="1" ht="65.25" customHeight="1" x14ac:dyDescent="0.25">
      <c r="A23" s="271" t="s">
        <v>248</v>
      </c>
      <c r="B23" s="272"/>
      <c r="C23" s="55">
        <v>338686.5</v>
      </c>
      <c r="D23" s="55">
        <v>299298</v>
      </c>
      <c r="E23" s="55">
        <v>299298</v>
      </c>
    </row>
    <row r="24" spans="1:10" s="11" customFormat="1" ht="15.75" x14ac:dyDescent="0.25"/>
    <row r="25" spans="1:10" s="11" customFormat="1" ht="15.75" x14ac:dyDescent="0.25"/>
    <row r="26" spans="1:10" s="11" customFormat="1" ht="15.75" x14ac:dyDescent="0.25"/>
  </sheetData>
  <mergeCells count="10">
    <mergeCell ref="A2:J2"/>
    <mergeCell ref="A3:J3"/>
    <mergeCell ref="A4:J4"/>
    <mergeCell ref="A22:B22"/>
    <mergeCell ref="A23:B23"/>
    <mergeCell ref="A6:A7"/>
    <mergeCell ref="B6:B7"/>
    <mergeCell ref="C6:D6"/>
    <mergeCell ref="E6:G6"/>
    <mergeCell ref="H6:J6"/>
  </mergeCells>
  <pageMargins left="0.7" right="0.7" top="0.75" bottom="0.75" header="0.3" footer="0.3"/>
  <pageSetup paperSize="9" scale="5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view="pageBreakPreview" zoomScale="85" zoomScaleNormal="100" zoomScaleSheetLayoutView="85" workbookViewId="0">
      <selection activeCell="A3" sqref="A3"/>
    </sheetView>
  </sheetViews>
  <sheetFormatPr defaultRowHeight="15" x14ac:dyDescent="0.25"/>
  <cols>
    <col min="1" max="1" width="9.5703125" customWidth="1"/>
    <col min="2" max="2" width="38.42578125" customWidth="1"/>
    <col min="3" max="3" width="23.28515625" customWidth="1"/>
    <col min="4" max="4" width="15.5703125" customWidth="1"/>
    <col min="5" max="6" width="14.28515625" customWidth="1"/>
    <col min="7" max="9" width="14.7109375" customWidth="1"/>
    <col min="10" max="10" width="14.28515625" customWidth="1"/>
    <col min="11" max="11" width="8.85546875" customWidth="1"/>
  </cols>
  <sheetData>
    <row r="1" spans="1:10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50.2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ht="16.149999999999999" customHeight="1" x14ac:dyDescent="0.25">
      <c r="A3" s="256"/>
      <c r="B3" s="226"/>
      <c r="C3" s="226"/>
      <c r="D3" s="226"/>
      <c r="E3" s="226"/>
      <c r="F3" s="226"/>
      <c r="G3" s="226"/>
      <c r="H3" s="226"/>
      <c r="I3" s="226"/>
      <c r="J3" s="226"/>
    </row>
    <row r="4" spans="1:10" ht="15.6" customHeight="1" x14ac:dyDescent="0.25">
      <c r="A4" s="282" t="s">
        <v>827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0" x14ac:dyDescent="0.25">
      <c r="J5" s="1"/>
    </row>
    <row r="6" spans="1:10" ht="50.25" customHeight="1" x14ac:dyDescent="0.25">
      <c r="A6" s="283" t="s">
        <v>10</v>
      </c>
      <c r="B6" s="283" t="s">
        <v>6</v>
      </c>
      <c r="C6" s="288" t="s">
        <v>7</v>
      </c>
      <c r="D6" s="289"/>
      <c r="E6" s="288" t="s">
        <v>8</v>
      </c>
      <c r="F6" s="297"/>
      <c r="G6" s="289"/>
      <c r="H6" s="288" t="s">
        <v>9</v>
      </c>
      <c r="I6" s="297"/>
      <c r="J6" s="289"/>
    </row>
    <row r="7" spans="1:10" ht="47.25" x14ac:dyDescent="0.25">
      <c r="A7" s="284"/>
      <c r="B7" s="284"/>
      <c r="C7" s="6" t="s">
        <v>1</v>
      </c>
      <c r="D7" s="6" t="s">
        <v>2</v>
      </c>
      <c r="E7" s="227" t="s">
        <v>3</v>
      </c>
      <c r="F7" s="228" t="s">
        <v>4</v>
      </c>
      <c r="G7" s="228" t="s">
        <v>5</v>
      </c>
      <c r="H7" s="227" t="s">
        <v>3</v>
      </c>
      <c r="I7" s="228" t="s">
        <v>4</v>
      </c>
      <c r="J7" s="228" t="s">
        <v>5</v>
      </c>
    </row>
    <row r="8" spans="1:10" ht="60.6" customHeight="1" x14ac:dyDescent="0.25">
      <c r="A8" s="257" t="s">
        <v>346</v>
      </c>
      <c r="B8" s="233" t="s">
        <v>347</v>
      </c>
      <c r="C8" s="6" t="s">
        <v>828</v>
      </c>
      <c r="D8" s="7" t="s">
        <v>326</v>
      </c>
      <c r="E8" s="25">
        <v>15</v>
      </c>
      <c r="F8" s="25">
        <v>15</v>
      </c>
      <c r="G8" s="25">
        <v>15</v>
      </c>
      <c r="H8" s="27">
        <v>3422.1</v>
      </c>
      <c r="I8" s="27">
        <v>3422.1</v>
      </c>
      <c r="J8" s="258">
        <v>3422.1</v>
      </c>
    </row>
    <row r="9" spans="1:10" ht="117" customHeight="1" x14ac:dyDescent="0.25">
      <c r="A9" s="257" t="s">
        <v>829</v>
      </c>
      <c r="B9" s="259" t="s">
        <v>830</v>
      </c>
      <c r="C9" s="6" t="s">
        <v>831</v>
      </c>
      <c r="D9" s="6" t="s">
        <v>832</v>
      </c>
      <c r="E9" s="7">
        <v>4</v>
      </c>
      <c r="F9" s="7">
        <v>4</v>
      </c>
      <c r="G9" s="7">
        <v>4</v>
      </c>
      <c r="H9" s="7">
        <v>143.6</v>
      </c>
      <c r="I9" s="7">
        <v>143.6</v>
      </c>
      <c r="J9" s="49">
        <v>143.6</v>
      </c>
    </row>
    <row r="10" spans="1:10" ht="115.5" customHeight="1" x14ac:dyDescent="0.25">
      <c r="A10" s="257" t="s">
        <v>829</v>
      </c>
      <c r="B10" s="259" t="s">
        <v>830</v>
      </c>
      <c r="C10" s="6" t="s">
        <v>831</v>
      </c>
      <c r="D10" s="7" t="s">
        <v>833</v>
      </c>
      <c r="E10" s="7">
        <v>490.9</v>
      </c>
      <c r="F10" s="7">
        <v>490.9</v>
      </c>
      <c r="G10" s="7">
        <v>490.9</v>
      </c>
      <c r="H10" s="93">
        <v>1074.9000000000001</v>
      </c>
      <c r="I10" s="93">
        <v>1074.9000000000001</v>
      </c>
      <c r="J10" s="260">
        <v>1074.9000000000001</v>
      </c>
    </row>
    <row r="11" spans="1:10" ht="81.75" customHeight="1" x14ac:dyDescent="0.25">
      <c r="A11" s="257" t="s">
        <v>834</v>
      </c>
      <c r="B11" s="259" t="s">
        <v>835</v>
      </c>
      <c r="C11" s="6" t="s">
        <v>836</v>
      </c>
      <c r="D11" s="6" t="s">
        <v>323</v>
      </c>
      <c r="E11" s="7">
        <v>12</v>
      </c>
      <c r="F11" s="7">
        <v>12</v>
      </c>
      <c r="G11" s="7">
        <v>12</v>
      </c>
      <c r="H11" s="93">
        <v>1457.2</v>
      </c>
      <c r="I11" s="93">
        <v>1457.2</v>
      </c>
      <c r="J11" s="260">
        <v>1457.2</v>
      </c>
    </row>
    <row r="12" spans="1:10" ht="15.75" customHeight="1" x14ac:dyDescent="0.25">
      <c r="A12" s="261"/>
      <c r="B12" s="262"/>
      <c r="C12" s="247"/>
      <c r="D12" s="247"/>
      <c r="E12" s="253"/>
      <c r="F12" s="253"/>
      <c r="G12" s="253"/>
      <c r="H12" s="263"/>
      <c r="I12" s="263"/>
      <c r="J12" s="264"/>
    </row>
    <row r="13" spans="1:10" s="11" customFormat="1" ht="15.75" x14ac:dyDescent="0.25">
      <c r="A13" s="270"/>
      <c r="B13" s="270"/>
      <c r="C13" s="224" t="s">
        <v>3</v>
      </c>
      <c r="D13" s="224" t="s">
        <v>4</v>
      </c>
      <c r="E13" s="224" t="s">
        <v>5</v>
      </c>
    </row>
    <row r="14" spans="1:10" s="11" customFormat="1" ht="66" customHeight="1" x14ac:dyDescent="0.25">
      <c r="A14" s="271" t="s">
        <v>248</v>
      </c>
      <c r="B14" s="272"/>
      <c r="C14" s="238">
        <v>6097.8</v>
      </c>
      <c r="D14" s="238">
        <v>6097.8</v>
      </c>
      <c r="E14" s="238">
        <v>6097.8</v>
      </c>
    </row>
  </sheetData>
  <mergeCells count="9">
    <mergeCell ref="A13:B13"/>
    <mergeCell ref="A14:B14"/>
    <mergeCell ref="A2:J2"/>
    <mergeCell ref="A4:J4"/>
    <mergeCell ref="A6:A7"/>
    <mergeCell ref="B6:B7"/>
    <mergeCell ref="C6:D6"/>
    <mergeCell ref="E6:G6"/>
    <mergeCell ref="H6:J6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82" zoomScaleNormal="82" workbookViewId="0">
      <selection activeCell="A5" sqref="A5"/>
    </sheetView>
  </sheetViews>
  <sheetFormatPr defaultRowHeight="15" x14ac:dyDescent="0.25"/>
  <cols>
    <col min="1" max="1" width="14.42578125" customWidth="1"/>
    <col min="2" max="2" width="34" customWidth="1"/>
    <col min="3" max="10" width="14.7109375" customWidth="1"/>
  </cols>
  <sheetData>
    <row r="1" spans="1:13" ht="15.6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3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  <c r="K2" s="75"/>
      <c r="L2" s="75"/>
      <c r="M2" s="75"/>
    </row>
    <row r="3" spans="1:13" ht="15.75" customHeight="1" x14ac:dyDescent="0.25">
      <c r="A3" s="333" t="s">
        <v>290</v>
      </c>
      <c r="B3" s="333"/>
      <c r="C3" s="333"/>
      <c r="D3" s="333"/>
      <c r="E3" s="333"/>
      <c r="F3" s="333"/>
      <c r="G3" s="333"/>
      <c r="H3" s="333"/>
      <c r="I3" s="333"/>
      <c r="J3" s="333"/>
      <c r="K3" s="76"/>
      <c r="L3" s="76"/>
      <c r="M3" s="76"/>
    </row>
    <row r="4" spans="1:13" ht="15" customHeight="1" x14ac:dyDescent="0.25">
      <c r="A4" s="296" t="s">
        <v>0</v>
      </c>
      <c r="B4" s="296"/>
      <c r="C4" s="296"/>
      <c r="D4" s="296"/>
      <c r="E4" s="296"/>
      <c r="F4" s="296"/>
      <c r="G4" s="296"/>
      <c r="H4" s="296"/>
      <c r="I4" s="296"/>
      <c r="J4" s="296"/>
      <c r="K4" s="77"/>
      <c r="L4" s="77"/>
      <c r="M4" s="77"/>
    </row>
    <row r="5" spans="1:13" ht="14.45" x14ac:dyDescent="0.3">
      <c r="M5" s="1"/>
    </row>
    <row r="6" spans="1:13" s="11" customFormat="1" ht="97.5" customHeight="1" x14ac:dyDescent="0.25">
      <c r="A6" s="283" t="s">
        <v>10</v>
      </c>
      <c r="B6" s="283" t="s">
        <v>6</v>
      </c>
      <c r="C6" s="285" t="s">
        <v>7</v>
      </c>
      <c r="D6" s="286"/>
      <c r="E6" s="285" t="s">
        <v>8</v>
      </c>
      <c r="F6" s="287"/>
      <c r="G6" s="286"/>
      <c r="H6" s="285" t="s">
        <v>9</v>
      </c>
      <c r="I6" s="287"/>
      <c r="J6" s="286"/>
    </row>
    <row r="7" spans="1:13" s="11" customFormat="1" ht="47.25" x14ac:dyDescent="0.25">
      <c r="A7" s="284"/>
      <c r="B7" s="284"/>
      <c r="C7" s="6" t="s">
        <v>1</v>
      </c>
      <c r="D7" s="6" t="s">
        <v>2</v>
      </c>
      <c r="E7" s="84" t="s">
        <v>3</v>
      </c>
      <c r="F7" s="85" t="s">
        <v>4</v>
      </c>
      <c r="G7" s="85" t="s">
        <v>5</v>
      </c>
      <c r="H7" s="84" t="s">
        <v>3</v>
      </c>
      <c r="I7" s="85" t="s">
        <v>4</v>
      </c>
      <c r="J7" s="85" t="s">
        <v>5</v>
      </c>
    </row>
    <row r="8" spans="1:13" s="11" customFormat="1" ht="102" customHeight="1" x14ac:dyDescent="0.25">
      <c r="A8" s="86" t="s">
        <v>291</v>
      </c>
      <c r="B8" s="87" t="s">
        <v>292</v>
      </c>
      <c r="C8" s="88" t="s">
        <v>301</v>
      </c>
      <c r="D8" s="7" t="s">
        <v>220</v>
      </c>
      <c r="E8" s="25">
        <v>748</v>
      </c>
      <c r="F8" s="25">
        <v>748</v>
      </c>
      <c r="G8" s="25">
        <v>748</v>
      </c>
      <c r="H8" s="237">
        <v>6635.4</v>
      </c>
      <c r="I8" s="237">
        <v>6635.4</v>
      </c>
      <c r="J8" s="237">
        <v>6635.4</v>
      </c>
    </row>
    <row r="9" spans="1:13" s="11" customFormat="1" ht="126" x14ac:dyDescent="0.25">
      <c r="A9" s="89" t="s">
        <v>293</v>
      </c>
      <c r="B9" s="90" t="s">
        <v>294</v>
      </c>
      <c r="C9" s="90" t="s">
        <v>302</v>
      </c>
      <c r="D9" s="7" t="s">
        <v>220</v>
      </c>
      <c r="E9" s="25">
        <v>1600</v>
      </c>
      <c r="F9" s="25">
        <v>1600</v>
      </c>
      <c r="G9" s="25">
        <v>1600</v>
      </c>
      <c r="H9" s="237">
        <v>1726.8</v>
      </c>
      <c r="I9" s="237">
        <v>1726.8</v>
      </c>
      <c r="J9" s="237">
        <v>1726.8</v>
      </c>
    </row>
    <row r="10" spans="1:13" s="11" customFormat="1" ht="240.75" customHeight="1" x14ac:dyDescent="0.25">
      <c r="A10" s="89" t="s">
        <v>295</v>
      </c>
      <c r="B10" s="91" t="s">
        <v>296</v>
      </c>
      <c r="C10" s="90" t="s">
        <v>303</v>
      </c>
      <c r="D10" s="7" t="s">
        <v>220</v>
      </c>
      <c r="E10" s="25">
        <v>6619</v>
      </c>
      <c r="F10" s="25">
        <v>6624</v>
      </c>
      <c r="G10" s="25">
        <v>6629</v>
      </c>
      <c r="H10" s="237">
        <v>394838.7</v>
      </c>
      <c r="I10" s="237">
        <v>394797.4</v>
      </c>
      <c r="J10" s="237">
        <v>394797.4</v>
      </c>
    </row>
    <row r="11" spans="1:13" s="11" customFormat="1" ht="273" customHeight="1" x14ac:dyDescent="0.25">
      <c r="A11" s="89" t="s">
        <v>297</v>
      </c>
      <c r="B11" s="92" t="s">
        <v>298</v>
      </c>
      <c r="C11" s="90" t="s">
        <v>303</v>
      </c>
      <c r="D11" s="7" t="s">
        <v>220</v>
      </c>
      <c r="E11" s="25">
        <v>29983</v>
      </c>
      <c r="F11" s="25">
        <v>30083</v>
      </c>
      <c r="G11" s="25">
        <v>30283</v>
      </c>
      <c r="H11" s="237">
        <v>3302.1</v>
      </c>
      <c r="I11" s="237">
        <v>3301.8</v>
      </c>
      <c r="J11" s="237">
        <v>3301.8</v>
      </c>
      <c r="K11" s="94"/>
      <c r="L11" s="94"/>
      <c r="M11" s="94"/>
    </row>
    <row r="12" spans="1:13" s="11" customFormat="1" ht="270.75" customHeight="1" x14ac:dyDescent="0.25">
      <c r="A12" s="89" t="s">
        <v>299</v>
      </c>
      <c r="B12" s="92" t="s">
        <v>300</v>
      </c>
      <c r="C12" s="90" t="s">
        <v>303</v>
      </c>
      <c r="D12" s="7" t="s">
        <v>220</v>
      </c>
      <c r="E12" s="25">
        <v>5260</v>
      </c>
      <c r="F12" s="25">
        <v>5260</v>
      </c>
      <c r="G12" s="25">
        <v>5260</v>
      </c>
      <c r="H12" s="237">
        <v>73590</v>
      </c>
      <c r="I12" s="237">
        <v>73582.3</v>
      </c>
      <c r="J12" s="237">
        <v>73582.3</v>
      </c>
    </row>
    <row r="13" spans="1:13" s="11" customFormat="1" ht="15.75" x14ac:dyDescent="0.25">
      <c r="A13" s="95"/>
      <c r="B13" s="95"/>
      <c r="C13" s="95"/>
      <c r="H13" s="96"/>
    </row>
    <row r="14" spans="1:13" s="11" customFormat="1" ht="15.75" x14ac:dyDescent="0.25">
      <c r="A14" s="336"/>
      <c r="B14" s="336"/>
      <c r="C14" s="336"/>
      <c r="D14" s="336"/>
      <c r="E14" s="336"/>
      <c r="F14" s="336"/>
      <c r="G14" s="336"/>
      <c r="H14" s="336"/>
      <c r="I14" s="336"/>
      <c r="J14" s="336"/>
    </row>
    <row r="15" spans="1:13" s="11" customFormat="1" ht="15.75" x14ac:dyDescent="0.25">
      <c r="A15" s="270"/>
      <c r="B15" s="270"/>
      <c r="C15" s="83" t="s">
        <v>3</v>
      </c>
      <c r="D15" s="83" t="s">
        <v>4</v>
      </c>
      <c r="E15" s="83" t="s">
        <v>5</v>
      </c>
      <c r="F15" s="334"/>
      <c r="G15" s="334"/>
    </row>
    <row r="16" spans="1:13" s="11" customFormat="1" ht="67.5" customHeight="1" x14ac:dyDescent="0.25">
      <c r="A16" s="271" t="s">
        <v>248</v>
      </c>
      <c r="B16" s="272"/>
      <c r="C16" s="55">
        <v>672082.4</v>
      </c>
      <c r="D16" s="97">
        <v>671622.8</v>
      </c>
      <c r="E16" s="97">
        <v>671622.8</v>
      </c>
      <c r="F16" s="335"/>
      <c r="G16" s="335"/>
    </row>
    <row r="17" s="11" customFormat="1" ht="15.75" x14ac:dyDescent="0.25"/>
    <row r="18" s="11" customFormat="1" ht="15.75" x14ac:dyDescent="0.25"/>
    <row r="19" s="11" customFormat="1" ht="15.75" x14ac:dyDescent="0.25"/>
    <row r="20" s="11" customFormat="1" ht="15.75" x14ac:dyDescent="0.25"/>
  </sheetData>
  <mergeCells count="13">
    <mergeCell ref="A2:J2"/>
    <mergeCell ref="A3:J3"/>
    <mergeCell ref="A4:J4"/>
    <mergeCell ref="A6:A7"/>
    <mergeCell ref="B6:B7"/>
    <mergeCell ref="C6:D6"/>
    <mergeCell ref="E6:G6"/>
    <mergeCell ref="H6:J6"/>
    <mergeCell ref="A15:B15"/>
    <mergeCell ref="A16:B16"/>
    <mergeCell ref="F15:G15"/>
    <mergeCell ref="F16:G16"/>
    <mergeCell ref="A14:J14"/>
  </mergeCells>
  <pageMargins left="0.7" right="0.7" top="0.75" bottom="0.75" header="0.3" footer="0.3"/>
  <pageSetup paperSize="9" scale="5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view="pageBreakPreview" zoomScale="85" zoomScaleNormal="100" zoomScaleSheetLayoutView="85" workbookViewId="0">
      <selection activeCell="A5" sqref="A5"/>
    </sheetView>
  </sheetViews>
  <sheetFormatPr defaultRowHeight="15" x14ac:dyDescent="0.25"/>
  <cols>
    <col min="1" max="1" width="9.5703125" customWidth="1"/>
    <col min="2" max="2" width="38.42578125" customWidth="1"/>
    <col min="3" max="3" width="23.28515625" customWidth="1"/>
    <col min="4" max="4" width="15.5703125" customWidth="1"/>
    <col min="5" max="6" width="14.28515625" customWidth="1"/>
    <col min="7" max="9" width="14.7109375" customWidth="1"/>
    <col min="10" max="10" width="14.28515625" customWidth="1"/>
    <col min="11" max="11" width="8.85546875" customWidth="1"/>
  </cols>
  <sheetData>
    <row r="1" spans="1:10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50.2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4" spans="1:10" ht="15.75" x14ac:dyDescent="0.25">
      <c r="A4" s="282" t="s">
        <v>837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0" x14ac:dyDescent="0.25">
      <c r="J5" s="1"/>
    </row>
    <row r="6" spans="1:10" ht="49.15" customHeight="1" x14ac:dyDescent="0.25">
      <c r="A6" s="331" t="s">
        <v>10</v>
      </c>
      <c r="B6" s="331" t="s">
        <v>6</v>
      </c>
      <c r="C6" s="288" t="s">
        <v>7</v>
      </c>
      <c r="D6" s="289"/>
      <c r="E6" s="332" t="s">
        <v>8</v>
      </c>
      <c r="F6" s="332"/>
      <c r="G6" s="332"/>
      <c r="H6" s="332" t="s">
        <v>838</v>
      </c>
      <c r="I6" s="332"/>
      <c r="J6" s="332"/>
    </row>
    <row r="7" spans="1:10" ht="47.25" x14ac:dyDescent="0.25">
      <c r="A7" s="331"/>
      <c r="B7" s="331"/>
      <c r="C7" s="6" t="s">
        <v>1</v>
      </c>
      <c r="D7" s="6" t="s">
        <v>2</v>
      </c>
      <c r="E7" s="52" t="s">
        <v>3</v>
      </c>
      <c r="F7" s="7" t="s">
        <v>4</v>
      </c>
      <c r="G7" s="7" t="s">
        <v>5</v>
      </c>
      <c r="H7" s="52" t="s">
        <v>3</v>
      </c>
      <c r="I7" s="7" t="s">
        <v>4</v>
      </c>
      <c r="J7" s="7" t="s">
        <v>5</v>
      </c>
    </row>
    <row r="8" spans="1:10" ht="81" customHeight="1" x14ac:dyDescent="0.25">
      <c r="A8" s="233" t="s">
        <v>839</v>
      </c>
      <c r="B8" s="233" t="s">
        <v>840</v>
      </c>
      <c r="C8" s="6" t="s">
        <v>841</v>
      </c>
      <c r="D8" s="7" t="s">
        <v>326</v>
      </c>
      <c r="E8" s="7">
        <v>378</v>
      </c>
      <c r="F8" s="7">
        <v>378</v>
      </c>
      <c r="G8" s="7">
        <v>378</v>
      </c>
      <c r="H8" s="27">
        <v>1616.5</v>
      </c>
      <c r="I8" s="27">
        <v>1616.5</v>
      </c>
      <c r="J8" s="27">
        <v>1616.5</v>
      </c>
    </row>
    <row r="9" spans="1:10" ht="143.25" customHeight="1" x14ac:dyDescent="0.25">
      <c r="A9" s="233" t="s">
        <v>842</v>
      </c>
      <c r="B9" s="233" t="s">
        <v>843</v>
      </c>
      <c r="C9" s="6" t="s">
        <v>844</v>
      </c>
      <c r="D9" s="7" t="s">
        <v>326</v>
      </c>
      <c r="E9" s="7">
        <v>35</v>
      </c>
      <c r="F9" s="7">
        <v>35</v>
      </c>
      <c r="G9" s="7">
        <v>35</v>
      </c>
      <c r="H9" s="27">
        <v>453.6</v>
      </c>
      <c r="I9" s="27">
        <v>453.6</v>
      </c>
      <c r="J9" s="27">
        <v>453.6</v>
      </c>
    </row>
    <row r="10" spans="1:10" ht="96.75" customHeight="1" x14ac:dyDescent="0.25">
      <c r="A10" s="233" t="s">
        <v>845</v>
      </c>
      <c r="B10" s="233" t="s">
        <v>846</v>
      </c>
      <c r="C10" s="6" t="s">
        <v>847</v>
      </c>
      <c r="D10" s="7" t="s">
        <v>326</v>
      </c>
      <c r="E10" s="7">
        <v>2208</v>
      </c>
      <c r="F10" s="7">
        <v>2208</v>
      </c>
      <c r="G10" s="7">
        <v>2208</v>
      </c>
      <c r="H10" s="27">
        <v>2940.1</v>
      </c>
      <c r="I10" s="27">
        <v>2940.1</v>
      </c>
      <c r="J10" s="27">
        <v>2940.1</v>
      </c>
    </row>
    <row r="11" spans="1:10" ht="16.5" customHeight="1" x14ac:dyDescent="0.25">
      <c r="A11" s="246"/>
      <c r="B11" s="246"/>
      <c r="C11" s="247"/>
      <c r="D11" s="253"/>
      <c r="E11" s="253"/>
      <c r="F11" s="253"/>
      <c r="G11" s="253"/>
      <c r="H11" s="255"/>
      <c r="I11" s="255"/>
      <c r="J11" s="255"/>
    </row>
    <row r="12" spans="1:10" s="11" customFormat="1" ht="15.75" x14ac:dyDescent="0.25">
      <c r="A12" s="270"/>
      <c r="B12" s="270"/>
      <c r="C12" s="224" t="s">
        <v>3</v>
      </c>
      <c r="D12" s="224" t="s">
        <v>4</v>
      </c>
      <c r="E12" s="224" t="s">
        <v>5</v>
      </c>
    </row>
    <row r="13" spans="1:10" s="11" customFormat="1" ht="66" customHeight="1" x14ac:dyDescent="0.25">
      <c r="A13" s="271" t="s">
        <v>248</v>
      </c>
      <c r="B13" s="272"/>
      <c r="C13" s="238">
        <v>7547.5</v>
      </c>
      <c r="D13" s="238">
        <v>7547.5</v>
      </c>
      <c r="E13" s="238">
        <v>7547.5</v>
      </c>
    </row>
  </sheetData>
  <mergeCells count="9">
    <mergeCell ref="A12:B12"/>
    <mergeCell ref="A13:B13"/>
    <mergeCell ref="A2:J2"/>
    <mergeCell ref="A4:J4"/>
    <mergeCell ref="A6:A7"/>
    <mergeCell ref="B6:B7"/>
    <mergeCell ref="C6:D6"/>
    <mergeCell ref="E6:G6"/>
    <mergeCell ref="H6:J6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view="pageBreakPreview" zoomScale="85" zoomScaleNormal="100" zoomScaleSheetLayoutView="85" workbookViewId="0">
      <selection activeCell="A3" sqref="A3"/>
    </sheetView>
  </sheetViews>
  <sheetFormatPr defaultRowHeight="15" x14ac:dyDescent="0.25"/>
  <cols>
    <col min="1" max="1" width="9.5703125" customWidth="1"/>
    <col min="2" max="2" width="38.42578125" customWidth="1"/>
    <col min="3" max="3" width="21.140625" customWidth="1"/>
    <col min="4" max="4" width="15.5703125" customWidth="1"/>
    <col min="5" max="6" width="14.28515625" customWidth="1"/>
    <col min="7" max="9" width="14.7109375" customWidth="1"/>
    <col min="10" max="10" width="14.28515625" customWidth="1"/>
    <col min="11" max="11" width="8.85546875" customWidth="1"/>
  </cols>
  <sheetData>
    <row r="1" spans="1:10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ht="50.25" customHeight="1" x14ac:dyDescent="0.25">
      <c r="A2" s="282" t="s">
        <v>11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0" ht="16.149999999999999" customHeight="1" x14ac:dyDescent="0.25">
      <c r="A3" s="226"/>
      <c r="B3" s="226"/>
      <c r="C3" s="226"/>
      <c r="D3" s="226"/>
      <c r="E3" s="226"/>
      <c r="F3" s="226"/>
      <c r="G3" s="226"/>
      <c r="H3" s="226"/>
      <c r="I3" s="226"/>
      <c r="J3" s="226"/>
    </row>
    <row r="4" spans="1:10" ht="16.149999999999999" customHeight="1" x14ac:dyDescent="0.25">
      <c r="A4" s="282" t="s">
        <v>848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0" ht="15.6" customHeight="1" x14ac:dyDescent="0.25">
      <c r="A5" s="226"/>
      <c r="B5" s="226"/>
      <c r="C5" s="226"/>
      <c r="D5" s="226"/>
      <c r="E5" s="226"/>
      <c r="F5" s="226"/>
      <c r="G5" s="226"/>
      <c r="H5" s="226"/>
      <c r="I5" s="226"/>
      <c r="J5" s="226"/>
    </row>
    <row r="6" spans="1:10" ht="48.6" customHeight="1" x14ac:dyDescent="0.25">
      <c r="A6" s="283" t="s">
        <v>10</v>
      </c>
      <c r="B6" s="283" t="s">
        <v>6</v>
      </c>
      <c r="C6" s="288" t="s">
        <v>7</v>
      </c>
      <c r="D6" s="289"/>
      <c r="E6" s="288" t="s">
        <v>8</v>
      </c>
      <c r="F6" s="297"/>
      <c r="G6" s="289"/>
      <c r="H6" s="288" t="s">
        <v>9</v>
      </c>
      <c r="I6" s="297"/>
      <c r="J6" s="289"/>
    </row>
    <row r="7" spans="1:10" ht="46.15" customHeight="1" x14ac:dyDescent="0.25">
      <c r="A7" s="284"/>
      <c r="B7" s="284"/>
      <c r="C7" s="6" t="s">
        <v>1</v>
      </c>
      <c r="D7" s="6" t="s">
        <v>2</v>
      </c>
      <c r="E7" s="227" t="s">
        <v>3</v>
      </c>
      <c r="F7" s="228" t="s">
        <v>4</v>
      </c>
      <c r="G7" s="228" t="s">
        <v>5</v>
      </c>
      <c r="H7" s="227" t="s">
        <v>3</v>
      </c>
      <c r="I7" s="228" t="s">
        <v>4</v>
      </c>
      <c r="J7" s="228" t="s">
        <v>5</v>
      </c>
    </row>
    <row r="8" spans="1:10" ht="63" customHeight="1" x14ac:dyDescent="0.25">
      <c r="A8" s="265"/>
      <c r="B8" s="266" t="s">
        <v>849</v>
      </c>
      <c r="C8" s="6" t="s">
        <v>850</v>
      </c>
      <c r="D8" s="52" t="s">
        <v>326</v>
      </c>
      <c r="E8" s="6">
        <v>120</v>
      </c>
      <c r="F8" s="6"/>
      <c r="G8" s="6"/>
      <c r="H8" s="267">
        <v>1206.8</v>
      </c>
      <c r="I8" s="267">
        <v>0</v>
      </c>
      <c r="J8" s="267">
        <v>0</v>
      </c>
    </row>
    <row r="9" spans="1:10" ht="206.45" customHeight="1" x14ac:dyDescent="0.25">
      <c r="A9" s="265"/>
      <c r="B9" s="266" t="s">
        <v>851</v>
      </c>
      <c r="C9" s="6" t="s">
        <v>852</v>
      </c>
      <c r="D9" s="52" t="s">
        <v>226</v>
      </c>
      <c r="E9" s="6">
        <v>1</v>
      </c>
      <c r="F9" s="6"/>
      <c r="G9" s="6"/>
      <c r="H9" s="267">
        <v>13874.1</v>
      </c>
      <c r="I9" s="267">
        <v>0</v>
      </c>
      <c r="J9" s="267">
        <v>0</v>
      </c>
    </row>
    <row r="10" spans="1:10" ht="16.149999999999999" customHeight="1" x14ac:dyDescent="0.25">
      <c r="A10" s="268" t="s">
        <v>853</v>
      </c>
      <c r="B10" s="225"/>
      <c r="C10" s="225"/>
      <c r="D10" s="225"/>
      <c r="E10" s="225"/>
      <c r="F10" s="225"/>
      <c r="G10" s="225"/>
      <c r="H10" s="226"/>
      <c r="I10" s="226"/>
      <c r="J10" s="226"/>
    </row>
    <row r="11" spans="1:10" ht="16.149999999999999" customHeight="1" x14ac:dyDescent="0.25">
      <c r="A11" s="268"/>
      <c r="B11" s="225"/>
      <c r="C11" s="225"/>
      <c r="D11" s="225"/>
      <c r="E11" s="225"/>
      <c r="F11" s="225"/>
      <c r="G11" s="225"/>
      <c r="H11" s="226"/>
      <c r="I11" s="226"/>
      <c r="J11" s="226"/>
    </row>
    <row r="12" spans="1:10" s="11" customFormat="1" ht="15.75" x14ac:dyDescent="0.25">
      <c r="A12" s="270"/>
      <c r="B12" s="270"/>
      <c r="C12" s="224" t="s">
        <v>3</v>
      </c>
      <c r="D12" s="224" t="s">
        <v>4</v>
      </c>
      <c r="E12" s="224" t="s">
        <v>5</v>
      </c>
    </row>
    <row r="13" spans="1:10" s="11" customFormat="1" ht="66" customHeight="1" x14ac:dyDescent="0.25">
      <c r="A13" s="271" t="s">
        <v>248</v>
      </c>
      <c r="B13" s="272"/>
      <c r="C13" s="238">
        <v>15080.9</v>
      </c>
      <c r="D13" s="238">
        <v>0</v>
      </c>
      <c r="E13" s="238">
        <v>0</v>
      </c>
    </row>
  </sheetData>
  <mergeCells count="9">
    <mergeCell ref="A12:B12"/>
    <mergeCell ref="A13:B13"/>
    <mergeCell ref="A2:J2"/>
    <mergeCell ref="A4:J4"/>
    <mergeCell ref="A6:A7"/>
    <mergeCell ref="B6:B7"/>
    <mergeCell ref="C6:D6"/>
    <mergeCell ref="E6:G6"/>
    <mergeCell ref="H6:J6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6</vt:i4>
      </vt:variant>
    </vt:vector>
  </HeadingPairs>
  <TitlesOfParts>
    <vt:vector size="20" baseType="lpstr">
      <vt:lpstr>Администрация Главы</vt:lpstr>
      <vt:lpstr>Госветслужба</vt:lpstr>
      <vt:lpstr>Госсовет</vt:lpstr>
      <vt:lpstr>ГКЧС</vt:lpstr>
      <vt:lpstr>Минздрав</vt:lpstr>
      <vt:lpstr>Мининформполитики</vt:lpstr>
      <vt:lpstr>Минкультуры</vt:lpstr>
      <vt:lpstr>Минобразования</vt:lpstr>
      <vt:lpstr>Минприроды</vt:lpstr>
      <vt:lpstr>Минспорт</vt:lpstr>
      <vt:lpstr>Минстрой</vt:lpstr>
      <vt:lpstr>Минтруд</vt:lpstr>
      <vt:lpstr>Минэк</vt:lpstr>
      <vt:lpstr>Минюст</vt:lpstr>
      <vt:lpstr>ГКЧС!Область_печати</vt:lpstr>
      <vt:lpstr>Госветслужба!Область_печати</vt:lpstr>
      <vt:lpstr>Мининформполитики!Область_печати</vt:lpstr>
      <vt:lpstr>Минприроды!Область_печати</vt:lpstr>
      <vt:lpstr>Минэк!Область_печати</vt:lpstr>
      <vt:lpstr>Минюст!Область_печати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Татьяна Владимировна</dc:creator>
  <cp:lastModifiedBy>Смирнов Игорь Николаевич</cp:lastModifiedBy>
  <cp:lastPrinted>2016-11-10T15:12:40Z</cp:lastPrinted>
  <dcterms:created xsi:type="dcterms:W3CDTF">2016-07-14T06:46:33Z</dcterms:created>
  <dcterms:modified xsi:type="dcterms:W3CDTF">2016-11-11T08:31:27Z</dcterms:modified>
</cp:coreProperties>
</file>